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390" firstSheet="2" activeTab="2"/>
  </bookViews>
  <sheets>
    <sheet name="Budget détaillé Burkina Faso" sheetId="2" r:id="rId1"/>
    <sheet name="Budget détaillé Mali" sheetId="1" r:id="rId2"/>
    <sheet name="Budget détaillé Niger" sheetId="4" r:id="rId3"/>
    <sheet name="Budget compilé "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8" i="2" l="1"/>
  <c r="J98" i="2"/>
  <c r="M98" i="2"/>
  <c r="E99" i="2"/>
  <c r="I99" i="2"/>
  <c r="J99" i="2"/>
  <c r="M99" i="2"/>
  <c r="I100" i="2"/>
  <c r="J100" i="2"/>
  <c r="M100" i="2"/>
  <c r="I101" i="2"/>
  <c r="J101" i="2"/>
  <c r="M101" i="2"/>
  <c r="G102" i="2"/>
  <c r="I102" i="2"/>
  <c r="J102" i="2"/>
  <c r="M102" i="2"/>
  <c r="I103" i="2"/>
  <c r="J103" i="2"/>
  <c r="M103" i="2"/>
  <c r="I104" i="2"/>
  <c r="J104" i="2"/>
  <c r="M104" i="2"/>
  <c r="M97" i="2"/>
  <c r="L98" i="2"/>
  <c r="L99" i="2"/>
  <c r="L100" i="2"/>
  <c r="L101" i="2"/>
  <c r="L102" i="2"/>
  <c r="L103" i="2"/>
  <c r="L104" i="2"/>
  <c r="L97" i="2"/>
  <c r="J97" i="2"/>
  <c r="G60" i="2"/>
  <c r="I60" i="2"/>
  <c r="J60" i="2"/>
  <c r="G61" i="2"/>
  <c r="I61" i="2"/>
  <c r="J61" i="2"/>
  <c r="J59" i="2"/>
  <c r="I54" i="2"/>
  <c r="J54" i="2"/>
  <c r="I55" i="2"/>
  <c r="J55" i="2"/>
  <c r="I56" i="2"/>
  <c r="J56" i="2"/>
  <c r="J53" i="2"/>
  <c r="I50" i="2"/>
  <c r="J50" i="2"/>
  <c r="I51" i="2"/>
  <c r="J51" i="2"/>
  <c r="I52" i="2"/>
  <c r="J52" i="2"/>
  <c r="J49" i="2"/>
  <c r="I29" i="2"/>
  <c r="J29" i="2"/>
  <c r="M29" i="2"/>
  <c r="I30" i="2"/>
  <c r="J30" i="2"/>
  <c r="M30" i="2"/>
  <c r="I31" i="2"/>
  <c r="J31" i="2"/>
  <c r="M31" i="2"/>
  <c r="M28" i="2"/>
  <c r="L29" i="2"/>
  <c r="L30" i="2"/>
  <c r="L31" i="2"/>
  <c r="L28" i="2"/>
  <c r="I14" i="2"/>
  <c r="J14" i="2"/>
  <c r="M14" i="2"/>
  <c r="I15" i="2"/>
  <c r="J15" i="2"/>
  <c r="M15" i="2"/>
  <c r="I16" i="2"/>
  <c r="J16" i="2"/>
  <c r="M16" i="2"/>
  <c r="I17" i="2"/>
  <c r="J17" i="2"/>
  <c r="M17" i="2"/>
  <c r="I18" i="2"/>
  <c r="J18" i="2"/>
  <c r="M18" i="2"/>
  <c r="I19" i="2"/>
  <c r="J19" i="2"/>
  <c r="M19" i="2"/>
  <c r="I20" i="2"/>
  <c r="J20" i="2"/>
  <c r="M20" i="2"/>
  <c r="I21" i="2"/>
  <c r="J21" i="2"/>
  <c r="M21" i="2"/>
  <c r="I22" i="2"/>
  <c r="J22" i="2"/>
  <c r="M22" i="2"/>
  <c r="I23" i="2"/>
  <c r="J23" i="2"/>
  <c r="M23" i="2"/>
  <c r="I24" i="2"/>
  <c r="J24" i="2"/>
  <c r="M24" i="2"/>
  <c r="I25" i="2"/>
  <c r="J25" i="2"/>
  <c r="M25" i="2"/>
  <c r="I26" i="2"/>
  <c r="J26" i="2"/>
  <c r="M26" i="2"/>
  <c r="I27" i="2"/>
  <c r="J27" i="2"/>
  <c r="M27" i="2"/>
  <c r="M13" i="2"/>
  <c r="L14" i="2"/>
  <c r="L15" i="2"/>
  <c r="L16" i="2"/>
  <c r="L17" i="2"/>
  <c r="L18" i="2"/>
  <c r="L19" i="2"/>
  <c r="L20" i="2"/>
  <c r="L21" i="2"/>
  <c r="L22" i="2"/>
  <c r="L23" i="2"/>
  <c r="L24" i="2"/>
  <c r="L25" i="2"/>
  <c r="L26" i="2"/>
  <c r="L27" i="2"/>
  <c r="L13" i="2"/>
  <c r="H103" i="2"/>
  <c r="G81" i="4"/>
  <c r="G80" i="4"/>
  <c r="E47" i="1"/>
  <c r="E46" i="1"/>
  <c r="G46" i="1"/>
  <c r="H46" i="1"/>
  <c r="G128" i="4"/>
  <c r="H128" i="4"/>
  <c r="K128" i="4"/>
  <c r="G129" i="4"/>
  <c r="H129" i="4"/>
  <c r="K129" i="4"/>
  <c r="K127" i="4"/>
  <c r="D131" i="4"/>
  <c r="G131" i="4"/>
  <c r="H131" i="4"/>
  <c r="K131" i="4"/>
  <c r="G132" i="4"/>
  <c r="H132" i="4"/>
  <c r="K132" i="4"/>
  <c r="K130" i="4"/>
  <c r="G134" i="4"/>
  <c r="H134" i="4"/>
  <c r="K134" i="4"/>
  <c r="K133" i="4"/>
  <c r="G135" i="4"/>
  <c r="H135" i="4"/>
  <c r="K135" i="4"/>
  <c r="G136" i="4"/>
  <c r="H136" i="4"/>
  <c r="K136" i="4"/>
  <c r="K126" i="4"/>
  <c r="J128" i="4"/>
  <c r="J129" i="4"/>
  <c r="J127" i="4"/>
  <c r="J130" i="4"/>
  <c r="J133" i="4"/>
  <c r="J135" i="4"/>
  <c r="J136" i="4"/>
  <c r="J126" i="4"/>
  <c r="G86" i="4"/>
  <c r="H86" i="4"/>
  <c r="J86" i="4"/>
  <c r="G87" i="4"/>
  <c r="H87" i="4"/>
  <c r="J87" i="4"/>
  <c r="J85" i="4"/>
  <c r="G89" i="4"/>
  <c r="H89" i="4"/>
  <c r="J89" i="4"/>
  <c r="G90" i="4"/>
  <c r="H90" i="4"/>
  <c r="J90" i="4"/>
  <c r="G91" i="4"/>
  <c r="H91" i="4"/>
  <c r="J91" i="4"/>
  <c r="J88" i="4"/>
  <c r="G93" i="4"/>
  <c r="H93" i="4"/>
  <c r="J93" i="4"/>
  <c r="J92" i="4"/>
  <c r="J84" i="4"/>
  <c r="G95" i="4"/>
  <c r="H95" i="4"/>
  <c r="J95" i="4"/>
  <c r="G96" i="4"/>
  <c r="H96" i="4"/>
  <c r="J96" i="4"/>
  <c r="G97" i="4"/>
  <c r="H97" i="4"/>
  <c r="J97" i="4"/>
  <c r="G98" i="4"/>
  <c r="H98" i="4"/>
  <c r="J98" i="4"/>
  <c r="G99" i="4"/>
  <c r="H99" i="4"/>
  <c r="J99" i="4"/>
  <c r="G100" i="4"/>
  <c r="H100" i="4"/>
  <c r="J100" i="4"/>
  <c r="G101" i="4"/>
  <c r="H101" i="4"/>
  <c r="J101" i="4"/>
  <c r="J94" i="4"/>
  <c r="G103" i="4"/>
  <c r="H103" i="4"/>
  <c r="J103" i="4"/>
  <c r="J102" i="4"/>
  <c r="J83" i="4"/>
  <c r="J105" i="4"/>
  <c r="J107" i="4"/>
  <c r="J110" i="4"/>
  <c r="J115" i="4"/>
  <c r="J123" i="4"/>
  <c r="J104" i="4"/>
  <c r="J82" i="4"/>
  <c r="G85" i="4"/>
  <c r="G88" i="4"/>
  <c r="G92" i="4"/>
  <c r="G84" i="4"/>
  <c r="G94" i="4"/>
  <c r="G102" i="4"/>
  <c r="G83" i="4"/>
  <c r="G127" i="4"/>
  <c r="G130" i="4"/>
  <c r="G133" i="4"/>
  <c r="G126" i="4"/>
  <c r="D50" i="1"/>
  <c r="G50" i="1"/>
  <c r="H50" i="1"/>
  <c r="J50" i="1"/>
  <c r="G51" i="1"/>
  <c r="H51" i="1"/>
  <c r="J51" i="1"/>
  <c r="G52" i="1"/>
  <c r="H52" i="1"/>
  <c r="J52" i="1"/>
  <c r="G53" i="1"/>
  <c r="H53" i="1"/>
  <c r="J53" i="1"/>
  <c r="G54" i="1"/>
  <c r="H54" i="1"/>
  <c r="J54" i="1"/>
  <c r="D55" i="1"/>
  <c r="E55" i="1"/>
  <c r="G55" i="1"/>
  <c r="H55" i="1"/>
  <c r="J55" i="1"/>
  <c r="G56" i="1"/>
  <c r="H56" i="1"/>
  <c r="J56" i="1"/>
  <c r="G57" i="1"/>
  <c r="H57" i="1"/>
  <c r="J57" i="1"/>
  <c r="G58" i="1"/>
  <c r="H58" i="1"/>
  <c r="J58" i="1"/>
  <c r="E59" i="1"/>
  <c r="G59" i="1"/>
  <c r="H59" i="1"/>
  <c r="J59" i="1"/>
  <c r="G60" i="1"/>
  <c r="H60" i="1"/>
  <c r="J60" i="1"/>
  <c r="G61" i="1"/>
  <c r="H61" i="1"/>
  <c r="J61" i="1"/>
  <c r="J49" i="1"/>
  <c r="H49" i="1"/>
  <c r="G49" i="1"/>
  <c r="I65" i="2"/>
  <c r="J65" i="2"/>
  <c r="L65" i="2"/>
  <c r="I66" i="2"/>
  <c r="J66" i="2"/>
  <c r="L66" i="2"/>
  <c r="I67" i="2"/>
  <c r="J67" i="2"/>
  <c r="L67" i="2"/>
  <c r="I68" i="2"/>
  <c r="J68" i="2"/>
  <c r="L68" i="2"/>
  <c r="I69" i="2"/>
  <c r="J69" i="2"/>
  <c r="L69" i="2"/>
  <c r="I70" i="2"/>
  <c r="C70" i="2"/>
  <c r="J70" i="2"/>
  <c r="L70" i="2"/>
  <c r="I71" i="2"/>
  <c r="J71" i="2"/>
  <c r="L71" i="2"/>
  <c r="L64" i="2"/>
  <c r="I73" i="2"/>
  <c r="J73" i="2"/>
  <c r="L73" i="2"/>
  <c r="I74" i="2"/>
  <c r="E74" i="2"/>
  <c r="J74" i="2"/>
  <c r="L74" i="2"/>
  <c r="I75" i="2"/>
  <c r="J75" i="2"/>
  <c r="L75" i="2"/>
  <c r="I76" i="2"/>
  <c r="J76" i="2"/>
  <c r="L76" i="2"/>
  <c r="G77" i="2"/>
  <c r="I77" i="2"/>
  <c r="C77" i="2"/>
  <c r="J77" i="2"/>
  <c r="L77" i="2"/>
  <c r="I78" i="2"/>
  <c r="C78" i="2"/>
  <c r="J78" i="2"/>
  <c r="L78" i="2"/>
  <c r="I79" i="2"/>
  <c r="J79" i="2"/>
  <c r="L79" i="2"/>
  <c r="L72" i="2"/>
  <c r="L63" i="2"/>
  <c r="L81" i="2"/>
  <c r="L85" i="2"/>
  <c r="L88" i="2"/>
  <c r="L93" i="2"/>
  <c r="L80" i="2"/>
  <c r="L62" i="2"/>
  <c r="N64" i="2"/>
  <c r="N72" i="2"/>
  <c r="N63" i="2"/>
  <c r="M64" i="2"/>
  <c r="M72" i="2"/>
  <c r="M63" i="2"/>
  <c r="J72" i="2"/>
  <c r="J64" i="2"/>
  <c r="J63" i="2"/>
  <c r="J28" i="2"/>
  <c r="J13" i="2"/>
  <c r="J33" i="2"/>
  <c r="J34" i="2"/>
  <c r="J35" i="2"/>
  <c r="J36" i="2"/>
  <c r="J32" i="2"/>
  <c r="J12" i="2"/>
  <c r="I5" i="2"/>
  <c r="J5" i="2"/>
  <c r="M5" i="2"/>
  <c r="I4" i="2"/>
  <c r="J4" i="2"/>
  <c r="M4" i="2"/>
  <c r="G21" i="4"/>
  <c r="G22" i="4"/>
  <c r="G23" i="4"/>
  <c r="G20" i="4"/>
  <c r="G16" i="4"/>
  <c r="G17" i="4"/>
  <c r="G18" i="4"/>
  <c r="G19" i="4"/>
  <c r="G15" i="4"/>
  <c r="G12" i="4"/>
  <c r="G13" i="4"/>
  <c r="G14" i="4"/>
  <c r="G11" i="4"/>
  <c r="I6" i="2"/>
  <c r="J6" i="2"/>
  <c r="M6" i="2"/>
  <c r="I7" i="2"/>
  <c r="J7" i="2"/>
  <c r="M7" i="2"/>
  <c r="I8" i="2"/>
  <c r="J8" i="2"/>
  <c r="M8" i="2"/>
  <c r="I9" i="2"/>
  <c r="J9" i="2"/>
  <c r="M9" i="2"/>
  <c r="I10" i="2"/>
  <c r="J10" i="2"/>
  <c r="M10" i="2"/>
  <c r="I11" i="2"/>
  <c r="J11" i="2"/>
  <c r="M11" i="2"/>
  <c r="M3" i="2"/>
  <c r="M33" i="2"/>
  <c r="M34" i="2"/>
  <c r="M35" i="2"/>
  <c r="M36" i="2"/>
  <c r="M32" i="2"/>
  <c r="M12" i="2"/>
  <c r="I39" i="2"/>
  <c r="J39" i="2"/>
  <c r="M39" i="2"/>
  <c r="I40" i="2"/>
  <c r="J40" i="2"/>
  <c r="M40" i="2"/>
  <c r="I41" i="2"/>
  <c r="J41" i="2"/>
  <c r="M41" i="2"/>
  <c r="I42" i="2"/>
  <c r="J42" i="2"/>
  <c r="M42" i="2"/>
  <c r="I43" i="2"/>
  <c r="J43" i="2"/>
  <c r="M43" i="2"/>
  <c r="I44" i="2"/>
  <c r="J44" i="2"/>
  <c r="M44" i="2"/>
  <c r="I45" i="2"/>
  <c r="J45" i="2"/>
  <c r="M45" i="2"/>
  <c r="M38" i="2"/>
  <c r="I47" i="2"/>
  <c r="J47" i="2"/>
  <c r="M47" i="2"/>
  <c r="G48" i="2"/>
  <c r="I48" i="2"/>
  <c r="J48" i="2"/>
  <c r="M48" i="2"/>
  <c r="M46" i="2"/>
  <c r="M50" i="2"/>
  <c r="M51" i="2"/>
  <c r="M52" i="2"/>
  <c r="M49" i="2"/>
  <c r="M54" i="2"/>
  <c r="M55" i="2"/>
  <c r="M56" i="2"/>
  <c r="M53" i="2"/>
  <c r="I58" i="2"/>
  <c r="J58" i="2"/>
  <c r="M58" i="2"/>
  <c r="M57" i="2"/>
  <c r="M60" i="2"/>
  <c r="M61" i="2"/>
  <c r="M59" i="2"/>
  <c r="M37" i="2"/>
  <c r="M81" i="2"/>
  <c r="M85" i="2"/>
  <c r="M88" i="2"/>
  <c r="M93" i="2"/>
  <c r="M80" i="2"/>
  <c r="M62" i="2"/>
  <c r="M106" i="2"/>
  <c r="J16" i="3"/>
  <c r="J15" i="3"/>
  <c r="J14" i="3"/>
  <c r="J13" i="3"/>
  <c r="L54" i="2"/>
  <c r="L55" i="2"/>
  <c r="L56" i="2"/>
  <c r="L53" i="2"/>
  <c r="J12" i="3"/>
  <c r="J11" i="3"/>
  <c r="J10" i="3"/>
  <c r="J9" i="3"/>
  <c r="J8" i="3"/>
  <c r="J7" i="3"/>
  <c r="J6" i="3"/>
  <c r="J5" i="3"/>
  <c r="J4" i="3"/>
  <c r="J3" i="3"/>
  <c r="L6" i="2"/>
  <c r="L7" i="2"/>
  <c r="L8" i="2"/>
  <c r="L9" i="2"/>
  <c r="L10" i="2"/>
  <c r="L11" i="2"/>
  <c r="L3" i="2"/>
  <c r="L33" i="2"/>
  <c r="L34" i="2"/>
  <c r="L35" i="2"/>
  <c r="L36" i="2"/>
  <c r="L32" i="2"/>
  <c r="L12" i="2"/>
  <c r="L39" i="2"/>
  <c r="L40" i="2"/>
  <c r="L41" i="2"/>
  <c r="L42" i="2"/>
  <c r="L43" i="2"/>
  <c r="L44" i="2"/>
  <c r="L45" i="2"/>
  <c r="L38" i="2"/>
  <c r="L47" i="2"/>
  <c r="L48" i="2"/>
  <c r="L46" i="2"/>
  <c r="L50" i="2"/>
  <c r="L51" i="2"/>
  <c r="L52" i="2"/>
  <c r="L49" i="2"/>
  <c r="L58" i="2"/>
  <c r="L57" i="2"/>
  <c r="L60" i="2"/>
  <c r="L61" i="2"/>
  <c r="L59" i="2"/>
  <c r="L37" i="2"/>
  <c r="L106" i="2"/>
  <c r="I16" i="3"/>
  <c r="I15" i="3"/>
  <c r="I14" i="3"/>
  <c r="I13" i="3"/>
  <c r="I12" i="3"/>
  <c r="I11" i="3"/>
  <c r="I10" i="3"/>
  <c r="I9" i="3"/>
  <c r="I8" i="3"/>
  <c r="I7" i="3"/>
  <c r="I6" i="3"/>
  <c r="I5" i="3"/>
  <c r="I4" i="3"/>
  <c r="I3" i="3"/>
  <c r="I96" i="2"/>
  <c r="J96" i="2"/>
  <c r="I94" i="2"/>
  <c r="J94" i="2"/>
  <c r="I95" i="2"/>
  <c r="J95" i="2"/>
  <c r="J93" i="2"/>
  <c r="I89" i="2"/>
  <c r="J89" i="2"/>
  <c r="I90" i="2"/>
  <c r="J90" i="2"/>
  <c r="I91" i="2"/>
  <c r="J91" i="2"/>
  <c r="I92" i="2"/>
  <c r="J92" i="2"/>
  <c r="J88" i="2"/>
  <c r="I86" i="2"/>
  <c r="J86" i="2"/>
  <c r="I87" i="2"/>
  <c r="J87" i="2"/>
  <c r="J85" i="2"/>
  <c r="I82" i="2"/>
  <c r="J82" i="2"/>
  <c r="I83" i="2"/>
  <c r="J83" i="2"/>
  <c r="I84" i="2"/>
  <c r="J84" i="2"/>
  <c r="J81" i="2"/>
  <c r="J80" i="2"/>
  <c r="J62" i="2"/>
  <c r="J57" i="2"/>
  <c r="J46" i="2"/>
  <c r="J38" i="2"/>
  <c r="J37" i="2"/>
  <c r="J3" i="2"/>
  <c r="J106" i="2"/>
  <c r="N93" i="2"/>
  <c r="N88" i="2"/>
  <c r="N85" i="2"/>
  <c r="N81" i="2"/>
  <c r="E9" i="1"/>
  <c r="G9" i="1"/>
  <c r="H9" i="1"/>
  <c r="K9" i="1"/>
  <c r="E10" i="1"/>
  <c r="G10" i="1"/>
  <c r="H10" i="1"/>
  <c r="K10" i="1"/>
  <c r="E11" i="1"/>
  <c r="G11" i="1"/>
  <c r="H11" i="1"/>
  <c r="K11" i="1"/>
  <c r="E12" i="1"/>
  <c r="G12" i="1"/>
  <c r="H12" i="1"/>
  <c r="K12" i="1"/>
  <c r="E8" i="1"/>
  <c r="G8" i="1"/>
  <c r="H8" i="1"/>
  <c r="K8" i="1"/>
  <c r="K7" i="1"/>
  <c r="E14" i="1"/>
  <c r="G14" i="1"/>
  <c r="H14" i="1"/>
  <c r="K14" i="1"/>
  <c r="E15" i="1"/>
  <c r="G15" i="1"/>
  <c r="H15" i="1"/>
  <c r="K15" i="1"/>
  <c r="E16" i="1"/>
  <c r="G16" i="1"/>
  <c r="H16" i="1"/>
  <c r="K16" i="1"/>
  <c r="E17" i="1"/>
  <c r="G17" i="1"/>
  <c r="H17" i="1"/>
  <c r="K17" i="1"/>
  <c r="E18" i="1"/>
  <c r="G18" i="1"/>
  <c r="H18" i="1"/>
  <c r="K18" i="1"/>
  <c r="E19" i="1"/>
  <c r="G19" i="1"/>
  <c r="H19" i="1"/>
  <c r="K19" i="1"/>
  <c r="E20" i="1"/>
  <c r="G20" i="1"/>
  <c r="H20" i="1"/>
  <c r="K20" i="1"/>
  <c r="E21" i="1"/>
  <c r="G21" i="1"/>
  <c r="H21" i="1"/>
  <c r="K21" i="1"/>
  <c r="E22" i="1"/>
  <c r="G22" i="1"/>
  <c r="H22" i="1"/>
  <c r="K22" i="1"/>
  <c r="K13" i="1"/>
  <c r="H24" i="1"/>
  <c r="K24" i="1"/>
  <c r="H25" i="1"/>
  <c r="K25" i="1"/>
  <c r="K23" i="1"/>
  <c r="K6" i="1"/>
  <c r="G29" i="1"/>
  <c r="H29" i="1"/>
  <c r="K29" i="1"/>
  <c r="G30" i="1"/>
  <c r="H30" i="1"/>
  <c r="K30" i="1"/>
  <c r="D31" i="1"/>
  <c r="G31" i="1"/>
  <c r="H31" i="1"/>
  <c r="K31" i="1"/>
  <c r="G28" i="1"/>
  <c r="H28" i="1"/>
  <c r="K28" i="1"/>
  <c r="K27" i="1"/>
  <c r="G36" i="1"/>
  <c r="H36" i="1"/>
  <c r="K36" i="1"/>
  <c r="G37" i="1"/>
  <c r="H37" i="1"/>
  <c r="K37" i="1"/>
  <c r="G38" i="1"/>
  <c r="H38" i="1"/>
  <c r="K38" i="1"/>
  <c r="G39" i="1"/>
  <c r="H39" i="1"/>
  <c r="K39" i="1"/>
  <c r="K35" i="1"/>
  <c r="G41" i="1"/>
  <c r="H41" i="1"/>
  <c r="K41" i="1"/>
  <c r="D42" i="1"/>
  <c r="G42" i="1"/>
  <c r="H42" i="1"/>
  <c r="K42" i="1"/>
  <c r="K40" i="1"/>
  <c r="G33" i="1"/>
  <c r="H33" i="1"/>
  <c r="K33" i="1"/>
  <c r="H34" i="1"/>
  <c r="K34" i="1"/>
  <c r="K32" i="1"/>
  <c r="G44" i="1"/>
  <c r="H44" i="1"/>
  <c r="K44" i="1"/>
  <c r="K43" i="1"/>
  <c r="K46" i="1"/>
  <c r="G47" i="1"/>
  <c r="H47" i="1"/>
  <c r="K47" i="1"/>
  <c r="K45" i="1"/>
  <c r="K26" i="1"/>
  <c r="G4" i="1"/>
  <c r="H4" i="1"/>
  <c r="K4" i="1"/>
  <c r="G5" i="1"/>
  <c r="H5" i="1"/>
  <c r="K5" i="1"/>
  <c r="K3" i="1"/>
  <c r="K49" i="1"/>
  <c r="G63" i="1"/>
  <c r="H63" i="1"/>
  <c r="K63" i="1"/>
  <c r="D64" i="1"/>
  <c r="G64" i="1"/>
  <c r="H64" i="1"/>
  <c r="K64" i="1"/>
  <c r="K65" i="1"/>
  <c r="K62" i="1"/>
  <c r="G67" i="1"/>
  <c r="H67" i="1"/>
  <c r="K67" i="1"/>
  <c r="G68" i="1"/>
  <c r="H68" i="1"/>
  <c r="K68" i="1"/>
  <c r="G69" i="1"/>
  <c r="H69" i="1"/>
  <c r="K69" i="1"/>
  <c r="G70" i="1"/>
  <c r="H70" i="1"/>
  <c r="K70" i="1"/>
  <c r="G71" i="1"/>
  <c r="H71" i="1"/>
  <c r="K71" i="1"/>
  <c r="E72" i="1"/>
  <c r="G72" i="1"/>
  <c r="H72" i="1"/>
  <c r="K72" i="1"/>
  <c r="K66" i="1"/>
  <c r="K48" i="1"/>
  <c r="K74" i="1"/>
  <c r="L16" i="3"/>
  <c r="L15" i="3"/>
  <c r="L14" i="3"/>
  <c r="L13" i="3"/>
  <c r="L12" i="3"/>
  <c r="L11" i="3"/>
  <c r="L10" i="3"/>
  <c r="L9" i="3"/>
  <c r="L8" i="3"/>
  <c r="L7" i="3"/>
  <c r="L6" i="3"/>
  <c r="L5" i="3"/>
  <c r="L4" i="3"/>
  <c r="L3" i="3"/>
  <c r="J4" i="1"/>
  <c r="J5" i="1"/>
  <c r="J3" i="1"/>
  <c r="J24" i="1"/>
  <c r="J25" i="1"/>
  <c r="J23" i="1"/>
  <c r="J14" i="1"/>
  <c r="J15" i="1"/>
  <c r="J16" i="1"/>
  <c r="J17" i="1"/>
  <c r="J18" i="1"/>
  <c r="J19" i="1"/>
  <c r="J20" i="1"/>
  <c r="J21" i="1"/>
  <c r="J22" i="1"/>
  <c r="J13" i="1"/>
  <c r="J9" i="1"/>
  <c r="J10" i="1"/>
  <c r="J11" i="1"/>
  <c r="J12" i="1"/>
  <c r="J8" i="1"/>
  <c r="J7" i="1"/>
  <c r="J6" i="1"/>
  <c r="J46" i="1"/>
  <c r="J47" i="1"/>
  <c r="J45" i="1"/>
  <c r="J44" i="1"/>
  <c r="J43" i="1"/>
  <c r="J41" i="1"/>
  <c r="J42" i="1"/>
  <c r="J40" i="1"/>
  <c r="J36" i="1"/>
  <c r="J37" i="1"/>
  <c r="J38" i="1"/>
  <c r="J35" i="1"/>
  <c r="J33" i="1"/>
  <c r="J34" i="1"/>
  <c r="J32" i="1"/>
  <c r="J29" i="1"/>
  <c r="J30" i="1"/>
  <c r="J31" i="1"/>
  <c r="J28" i="1"/>
  <c r="J27" i="1"/>
  <c r="J26" i="1"/>
  <c r="J62" i="1"/>
  <c r="J67" i="1"/>
  <c r="J68" i="1"/>
  <c r="J69" i="1"/>
  <c r="J70" i="1"/>
  <c r="J71" i="1"/>
  <c r="J72" i="1"/>
  <c r="J66" i="1"/>
  <c r="J48" i="1"/>
  <c r="J74" i="1"/>
  <c r="K16" i="3"/>
  <c r="K15" i="3"/>
  <c r="K14" i="3"/>
  <c r="K13" i="3"/>
  <c r="K12" i="3"/>
  <c r="K11" i="3"/>
  <c r="K10" i="3"/>
  <c r="K9" i="3"/>
  <c r="K8" i="3"/>
  <c r="K7" i="3"/>
  <c r="K6" i="3"/>
  <c r="K5" i="3"/>
  <c r="K4" i="3"/>
  <c r="K3" i="3"/>
  <c r="E3" i="3"/>
  <c r="E4" i="3"/>
  <c r="E8" i="3"/>
  <c r="E15" i="3"/>
  <c r="E16" i="3"/>
  <c r="E17" i="3"/>
  <c r="E18" i="3"/>
  <c r="G10" i="4"/>
  <c r="G7" i="4"/>
  <c r="G8" i="4"/>
  <c r="G9" i="4"/>
  <c r="G6" i="4"/>
  <c r="G5" i="4"/>
  <c r="G4" i="4"/>
  <c r="H4" i="4"/>
  <c r="G3" i="3"/>
  <c r="H3" i="1"/>
  <c r="F3" i="3"/>
  <c r="C3" i="3"/>
  <c r="H13" i="1"/>
  <c r="H7" i="1"/>
  <c r="H23" i="1"/>
  <c r="H6" i="1"/>
  <c r="F4" i="3"/>
  <c r="F26" i="4"/>
  <c r="G26" i="4"/>
  <c r="G27" i="4"/>
  <c r="G28" i="4"/>
  <c r="G29" i="4"/>
  <c r="G30" i="4"/>
  <c r="G31" i="4"/>
  <c r="G32" i="4"/>
  <c r="G33" i="4"/>
  <c r="G34" i="4"/>
  <c r="G35" i="4"/>
  <c r="G36" i="4"/>
  <c r="G25" i="4"/>
  <c r="F38" i="4"/>
  <c r="G38" i="4"/>
  <c r="G39" i="4"/>
  <c r="G40" i="4"/>
  <c r="G37" i="4"/>
  <c r="G42" i="4"/>
  <c r="G43" i="4"/>
  <c r="F44" i="4"/>
  <c r="G44" i="4"/>
  <c r="G41" i="4"/>
  <c r="G24" i="4"/>
  <c r="H24" i="4"/>
  <c r="G4" i="3"/>
  <c r="C4" i="3"/>
  <c r="H35" i="1"/>
  <c r="H40" i="1"/>
  <c r="H27" i="1"/>
  <c r="H32" i="1"/>
  <c r="H43" i="1"/>
  <c r="H45" i="1"/>
  <c r="H26" i="1"/>
  <c r="F8" i="3"/>
  <c r="G47" i="4"/>
  <c r="G48" i="4"/>
  <c r="G49" i="4"/>
  <c r="G50" i="4"/>
  <c r="G46" i="4"/>
  <c r="G53" i="4"/>
  <c r="G54" i="4"/>
  <c r="G55" i="4"/>
  <c r="G52" i="4"/>
  <c r="F57" i="4"/>
  <c r="G57" i="4"/>
  <c r="G56" i="4"/>
  <c r="G51" i="4"/>
  <c r="G59" i="4"/>
  <c r="G60" i="4"/>
  <c r="G61" i="4"/>
  <c r="G62" i="4"/>
  <c r="G63" i="4"/>
  <c r="G64" i="4"/>
  <c r="G58" i="4"/>
  <c r="G66" i="4"/>
  <c r="G67" i="4"/>
  <c r="G68" i="4"/>
  <c r="G65" i="4"/>
  <c r="G71" i="4"/>
  <c r="G72" i="4"/>
  <c r="G73" i="4"/>
  <c r="G70" i="4"/>
  <c r="G75" i="4"/>
  <c r="G76" i="4"/>
  <c r="G77" i="4"/>
  <c r="G78" i="4"/>
  <c r="G74" i="4"/>
  <c r="G69" i="4"/>
  <c r="G79" i="4"/>
  <c r="G45" i="4"/>
  <c r="H45" i="4"/>
  <c r="G8" i="3"/>
  <c r="C8" i="3"/>
  <c r="G111" i="4"/>
  <c r="G112" i="4"/>
  <c r="G113" i="4"/>
  <c r="G114" i="4"/>
  <c r="G110" i="4"/>
  <c r="G120" i="4"/>
  <c r="G116" i="4"/>
  <c r="G117" i="4"/>
  <c r="F118" i="4"/>
  <c r="G118" i="4"/>
  <c r="G119" i="4"/>
  <c r="F121" i="4"/>
  <c r="G121" i="4"/>
  <c r="G122" i="4"/>
  <c r="G115" i="4"/>
  <c r="G106" i="4"/>
  <c r="G105" i="4"/>
  <c r="G108" i="4"/>
  <c r="G109" i="4"/>
  <c r="G107" i="4"/>
  <c r="G124" i="4"/>
  <c r="G125" i="4"/>
  <c r="G123" i="4"/>
  <c r="G104" i="4"/>
  <c r="G82" i="4"/>
  <c r="H82" i="4"/>
  <c r="G15" i="3"/>
  <c r="H62" i="1"/>
  <c r="H66" i="1"/>
  <c r="H48" i="1"/>
  <c r="F15" i="3"/>
  <c r="C15" i="3"/>
  <c r="C16" i="3"/>
  <c r="C17" i="3"/>
  <c r="C18" i="3"/>
  <c r="E21" i="3"/>
  <c r="H16" i="4"/>
  <c r="K16" i="4"/>
  <c r="H17" i="4"/>
  <c r="K17" i="4"/>
  <c r="H18" i="4"/>
  <c r="K18" i="4"/>
  <c r="H19" i="4"/>
  <c r="K19" i="4"/>
  <c r="K15" i="4"/>
  <c r="H12" i="4"/>
  <c r="K12" i="4"/>
  <c r="H13" i="4"/>
  <c r="K13" i="4"/>
  <c r="H14" i="4"/>
  <c r="K14" i="4"/>
  <c r="K11" i="4"/>
  <c r="H21" i="4"/>
  <c r="K21" i="4"/>
  <c r="H22" i="4"/>
  <c r="K22" i="4"/>
  <c r="H23" i="4"/>
  <c r="K23" i="4"/>
  <c r="K20" i="4"/>
  <c r="K10" i="4"/>
  <c r="H9" i="4"/>
  <c r="K9" i="4"/>
  <c r="K6" i="4"/>
  <c r="K5" i="4"/>
  <c r="K4" i="4"/>
  <c r="H111" i="4"/>
  <c r="K111" i="4"/>
  <c r="H112" i="4"/>
  <c r="K112" i="4"/>
  <c r="H113" i="4"/>
  <c r="K113" i="4"/>
  <c r="H114" i="4"/>
  <c r="K114" i="4"/>
  <c r="K110" i="4"/>
  <c r="H120" i="4"/>
  <c r="K120" i="4"/>
  <c r="H116" i="4"/>
  <c r="K116" i="4"/>
  <c r="H117" i="4"/>
  <c r="K117" i="4"/>
  <c r="H118" i="4"/>
  <c r="K118" i="4"/>
  <c r="H119" i="4"/>
  <c r="K119" i="4"/>
  <c r="H121" i="4"/>
  <c r="K121" i="4"/>
  <c r="H122" i="4"/>
  <c r="K122" i="4"/>
  <c r="K115" i="4"/>
  <c r="H106" i="4"/>
  <c r="K106" i="4"/>
  <c r="K105" i="4"/>
  <c r="H108" i="4"/>
  <c r="K108" i="4"/>
  <c r="H109" i="4"/>
  <c r="K109" i="4"/>
  <c r="K107" i="4"/>
  <c r="H124" i="4"/>
  <c r="K124" i="4"/>
  <c r="H125" i="4"/>
  <c r="K125" i="4"/>
  <c r="K123" i="4"/>
  <c r="K104" i="4"/>
  <c r="K85" i="4"/>
  <c r="K88" i="4"/>
  <c r="K92" i="4"/>
  <c r="K84" i="4"/>
  <c r="K94" i="4"/>
  <c r="K102" i="4"/>
  <c r="K83" i="4"/>
  <c r="K82" i="4"/>
  <c r="H26" i="4"/>
  <c r="K26" i="4"/>
  <c r="H27" i="4"/>
  <c r="K27" i="4"/>
  <c r="H28" i="4"/>
  <c r="K28" i="4"/>
  <c r="H29" i="4"/>
  <c r="K29" i="4"/>
  <c r="H30" i="4"/>
  <c r="K30" i="4"/>
  <c r="H31" i="4"/>
  <c r="K31" i="4"/>
  <c r="H32" i="4"/>
  <c r="K32" i="4"/>
  <c r="H33" i="4"/>
  <c r="K33" i="4"/>
  <c r="H34" i="4"/>
  <c r="K34" i="4"/>
  <c r="H35" i="4"/>
  <c r="K35" i="4"/>
  <c r="H36" i="4"/>
  <c r="K36" i="4"/>
  <c r="K25" i="4"/>
  <c r="H38" i="4"/>
  <c r="K38" i="4"/>
  <c r="H39" i="4"/>
  <c r="K39" i="4"/>
  <c r="H40" i="4"/>
  <c r="K40" i="4"/>
  <c r="K37" i="4"/>
  <c r="H43" i="4"/>
  <c r="K43" i="4"/>
  <c r="H44" i="4"/>
  <c r="K44" i="4"/>
  <c r="K41" i="4"/>
  <c r="K24" i="4"/>
  <c r="H47" i="4"/>
  <c r="K47" i="4"/>
  <c r="H48" i="4"/>
  <c r="K48" i="4"/>
  <c r="H49" i="4"/>
  <c r="K49" i="4"/>
  <c r="H50" i="4"/>
  <c r="K50" i="4"/>
  <c r="K46" i="4"/>
  <c r="H53" i="4"/>
  <c r="K53" i="4"/>
  <c r="H54" i="4"/>
  <c r="K54" i="4"/>
  <c r="H55" i="4"/>
  <c r="K55" i="4"/>
  <c r="K52" i="4"/>
  <c r="H57" i="4"/>
  <c r="K57" i="4"/>
  <c r="K56" i="4"/>
  <c r="K51" i="4"/>
  <c r="H59" i="4"/>
  <c r="K59" i="4"/>
  <c r="H60" i="4"/>
  <c r="K60" i="4"/>
  <c r="H61" i="4"/>
  <c r="K61" i="4"/>
  <c r="H62" i="4"/>
  <c r="K62" i="4"/>
  <c r="H63" i="4"/>
  <c r="K63" i="4"/>
  <c r="H64" i="4"/>
  <c r="K64" i="4"/>
  <c r="K58" i="4"/>
  <c r="H66" i="4"/>
  <c r="K66" i="4"/>
  <c r="H67" i="4"/>
  <c r="K67" i="4"/>
  <c r="H68" i="4"/>
  <c r="K68" i="4"/>
  <c r="K65" i="4"/>
  <c r="H71" i="4"/>
  <c r="K71" i="4"/>
  <c r="H72" i="4"/>
  <c r="K72" i="4"/>
  <c r="H73" i="4"/>
  <c r="K73" i="4"/>
  <c r="K70" i="4"/>
  <c r="H75" i="4"/>
  <c r="K75" i="4"/>
  <c r="H76" i="4"/>
  <c r="K76" i="4"/>
  <c r="H77" i="4"/>
  <c r="K77" i="4"/>
  <c r="H78" i="4"/>
  <c r="K78" i="4"/>
  <c r="K74" i="4"/>
  <c r="K69" i="4"/>
  <c r="H80" i="4"/>
  <c r="K80" i="4"/>
  <c r="H81" i="4"/>
  <c r="K81" i="4"/>
  <c r="K79" i="4"/>
  <c r="K45" i="4"/>
  <c r="K137" i="4"/>
  <c r="N16" i="3"/>
  <c r="N15" i="3"/>
  <c r="N14" i="3"/>
  <c r="N13" i="3"/>
  <c r="N12" i="3"/>
  <c r="N11" i="3"/>
  <c r="N10" i="3"/>
  <c r="N9" i="3"/>
  <c r="N8" i="3"/>
  <c r="N7" i="3"/>
  <c r="N6" i="3"/>
  <c r="N5" i="3"/>
  <c r="N4" i="3"/>
  <c r="J16" i="4"/>
  <c r="J17" i="4"/>
  <c r="J18" i="4"/>
  <c r="J19" i="4"/>
  <c r="J15" i="4"/>
  <c r="J12" i="4"/>
  <c r="J13" i="4"/>
  <c r="J14" i="4"/>
  <c r="J11" i="4"/>
  <c r="J21" i="4"/>
  <c r="J22" i="4"/>
  <c r="J23" i="4"/>
  <c r="J20" i="4"/>
  <c r="J10" i="4"/>
  <c r="H7" i="4"/>
  <c r="J7" i="4"/>
  <c r="H8" i="4"/>
  <c r="J8" i="4"/>
  <c r="J9" i="4"/>
  <c r="J6" i="4"/>
  <c r="J5" i="4"/>
  <c r="J4" i="4"/>
  <c r="J26" i="4"/>
  <c r="J27" i="4"/>
  <c r="J29" i="4"/>
  <c r="J30" i="4"/>
  <c r="J31" i="4"/>
  <c r="J32" i="4"/>
  <c r="J33" i="4"/>
  <c r="J34" i="4"/>
  <c r="J36" i="4"/>
  <c r="J25" i="4"/>
  <c r="J38" i="4"/>
  <c r="J39" i="4"/>
  <c r="J40" i="4"/>
  <c r="J37" i="4"/>
  <c r="H42" i="4"/>
  <c r="J42" i="4"/>
  <c r="J43" i="4"/>
  <c r="J44" i="4"/>
  <c r="J41" i="4"/>
  <c r="J24" i="4"/>
  <c r="J47" i="4"/>
  <c r="J48" i="4"/>
  <c r="J49" i="4"/>
  <c r="J50" i="4"/>
  <c r="J46" i="4"/>
  <c r="J53" i="4"/>
  <c r="J55" i="4"/>
  <c r="J52" i="4"/>
  <c r="J57" i="4"/>
  <c r="J56" i="4"/>
  <c r="J51" i="4"/>
  <c r="J59" i="4"/>
  <c r="J60" i="4"/>
  <c r="J61" i="4"/>
  <c r="J62" i="4"/>
  <c r="J63" i="4"/>
  <c r="J64" i="4"/>
  <c r="J58" i="4"/>
  <c r="J66" i="4"/>
  <c r="J67" i="4"/>
  <c r="J68" i="4"/>
  <c r="J65" i="4"/>
  <c r="J71" i="4"/>
  <c r="J72" i="4"/>
  <c r="J73" i="4"/>
  <c r="J70" i="4"/>
  <c r="J75" i="4"/>
  <c r="J76" i="4"/>
  <c r="J77" i="4"/>
  <c r="J78" i="4"/>
  <c r="J74" i="4"/>
  <c r="J69" i="4"/>
  <c r="J80" i="4"/>
  <c r="J81" i="4"/>
  <c r="J79" i="4"/>
  <c r="J45" i="4"/>
  <c r="J137" i="4"/>
  <c r="M16" i="3"/>
  <c r="M15" i="3"/>
  <c r="M14" i="3"/>
  <c r="M13" i="3"/>
  <c r="M12" i="3"/>
  <c r="M11" i="3"/>
  <c r="M10" i="3"/>
  <c r="M9" i="3"/>
  <c r="M8" i="3"/>
  <c r="M7" i="3"/>
  <c r="M6" i="3"/>
  <c r="M5" i="3"/>
  <c r="M4" i="3"/>
  <c r="N3" i="3"/>
  <c r="M3" i="3"/>
  <c r="H65" i="4"/>
  <c r="H15" i="4"/>
  <c r="H74" i="1"/>
  <c r="H84" i="4"/>
  <c r="H94" i="4"/>
  <c r="H102" i="4"/>
  <c r="H83" i="4"/>
  <c r="H41" i="4"/>
  <c r="H37" i="4"/>
  <c r="H25" i="4"/>
  <c r="H60" i="2"/>
  <c r="H61" i="2"/>
  <c r="E65" i="1"/>
  <c r="G65" i="1"/>
  <c r="G62" i="1"/>
  <c r="G66" i="1"/>
  <c r="F14" i="1"/>
  <c r="F15" i="1"/>
  <c r="G13" i="1"/>
  <c r="F20" i="1"/>
  <c r="F16" i="1"/>
  <c r="F17" i="1"/>
  <c r="F18" i="1"/>
  <c r="F19" i="1"/>
  <c r="F21" i="1"/>
  <c r="F22" i="1"/>
  <c r="F13" i="1"/>
  <c r="E13" i="1"/>
  <c r="F6" i="3"/>
  <c r="G6" i="3"/>
  <c r="E6" i="3"/>
  <c r="C6" i="3"/>
  <c r="F61" i="1"/>
  <c r="H110" i="4"/>
  <c r="H115" i="4"/>
  <c r="F60" i="1"/>
  <c r="H96" i="2"/>
  <c r="H102" i="2"/>
  <c r="F72" i="1"/>
  <c r="H101" i="2"/>
  <c r="F59" i="1"/>
  <c r="H48" i="2"/>
  <c r="G7" i="3"/>
  <c r="H126" i="4"/>
  <c r="G12" i="3"/>
  <c r="H74" i="4"/>
  <c r="H56" i="4"/>
  <c r="H46" i="4"/>
  <c r="G9" i="3"/>
  <c r="H88" i="4"/>
  <c r="H20" i="4"/>
  <c r="H92" i="4"/>
  <c r="H127" i="4"/>
  <c r="H79" i="4"/>
  <c r="G14" i="3"/>
  <c r="H58" i="4"/>
  <c r="G11" i="3"/>
  <c r="H85" i="4"/>
  <c r="H123" i="4"/>
  <c r="H107" i="4"/>
  <c r="H130" i="4"/>
  <c r="N59" i="2"/>
  <c r="N97" i="2"/>
  <c r="N80" i="2"/>
  <c r="N57" i="2"/>
  <c r="N53" i="2"/>
  <c r="N49" i="2"/>
  <c r="N46" i="2"/>
  <c r="N38" i="2"/>
  <c r="N32" i="2"/>
  <c r="N13" i="2"/>
  <c r="N3" i="2"/>
  <c r="G5" i="3"/>
  <c r="H133" i="4"/>
  <c r="H51" i="4"/>
  <c r="G10" i="3"/>
  <c r="N37" i="2"/>
  <c r="N28" i="2"/>
  <c r="H52" i="4"/>
  <c r="H69" i="4"/>
  <c r="G13" i="3"/>
  <c r="H70" i="4"/>
  <c r="H105" i="4"/>
  <c r="H6" i="4"/>
  <c r="H11" i="4"/>
  <c r="H10" i="4"/>
  <c r="N62" i="2"/>
  <c r="N12" i="2"/>
  <c r="H104" i="2"/>
  <c r="H100" i="2"/>
  <c r="H99" i="2"/>
  <c r="H98" i="2"/>
  <c r="H95" i="2"/>
  <c r="H94" i="2"/>
  <c r="H92" i="2"/>
  <c r="H91" i="2"/>
  <c r="H90" i="2"/>
  <c r="H89" i="2"/>
  <c r="H87" i="2"/>
  <c r="H86" i="2"/>
  <c r="H84" i="2"/>
  <c r="H83" i="2"/>
  <c r="H82" i="2"/>
  <c r="H76" i="2"/>
  <c r="H75" i="2"/>
  <c r="H74" i="2"/>
  <c r="H73" i="2"/>
  <c r="H79" i="2"/>
  <c r="H71" i="2"/>
  <c r="H69" i="2"/>
  <c r="H68" i="2"/>
  <c r="H67" i="2"/>
  <c r="H66" i="2"/>
  <c r="H65" i="2"/>
  <c r="E14" i="3"/>
  <c r="E13" i="3"/>
  <c r="H58" i="2"/>
  <c r="H56" i="2"/>
  <c r="H55" i="2"/>
  <c r="H54" i="2"/>
  <c r="H52" i="2"/>
  <c r="H51" i="2"/>
  <c r="H50" i="2"/>
  <c r="H47" i="2"/>
  <c r="H45" i="2"/>
  <c r="H44" i="2"/>
  <c r="H43" i="2"/>
  <c r="H42" i="2"/>
  <c r="H41" i="2"/>
  <c r="H40" i="2"/>
  <c r="H39" i="2"/>
  <c r="H36" i="2"/>
  <c r="H35" i="2"/>
  <c r="H34" i="2"/>
  <c r="E7" i="3"/>
  <c r="H33" i="2"/>
  <c r="H27" i="2"/>
  <c r="H31" i="2"/>
  <c r="H26" i="2"/>
  <c r="H25" i="2"/>
  <c r="H24" i="2"/>
  <c r="H23" i="2"/>
  <c r="H22" i="2"/>
  <c r="H21" i="2"/>
  <c r="H30" i="2"/>
  <c r="H20" i="2"/>
  <c r="H19" i="2"/>
  <c r="H18" i="2"/>
  <c r="H29" i="2"/>
  <c r="H17" i="2"/>
  <c r="H16" i="2"/>
  <c r="H15" i="2"/>
  <c r="H14" i="2"/>
  <c r="H11" i="2"/>
  <c r="H10" i="2"/>
  <c r="H9" i="2"/>
  <c r="H8" i="2"/>
  <c r="H7" i="2"/>
  <c r="H6" i="2"/>
  <c r="H5" i="2"/>
  <c r="H4" i="2"/>
  <c r="E10" i="3"/>
  <c r="M107" i="2"/>
  <c r="M108" i="2"/>
  <c r="L107" i="2"/>
  <c r="L108" i="2"/>
  <c r="N106" i="2"/>
  <c r="N107" i="2"/>
  <c r="N108" i="2"/>
  <c r="H104" i="4"/>
  <c r="H5" i="4"/>
  <c r="H77" i="2"/>
  <c r="E9" i="3"/>
  <c r="E11" i="3"/>
  <c r="E12" i="3"/>
  <c r="H70" i="2"/>
  <c r="H78" i="2"/>
  <c r="E5" i="3"/>
  <c r="G16" i="3"/>
  <c r="G17" i="3"/>
  <c r="G18" i="3"/>
  <c r="G137" i="4"/>
  <c r="H137" i="4"/>
  <c r="I4" i="4"/>
  <c r="I24" i="4"/>
  <c r="I45" i="4"/>
  <c r="G138" i="4"/>
  <c r="H138" i="4"/>
  <c r="I82" i="4"/>
  <c r="K12" i="2"/>
  <c r="L3" i="1"/>
  <c r="L7" i="1"/>
  <c r="L13" i="1"/>
  <c r="L23" i="1"/>
  <c r="L27" i="1"/>
  <c r="L32" i="1"/>
  <c r="L35" i="1"/>
  <c r="L40" i="1"/>
  <c r="L43" i="1"/>
  <c r="L45" i="1"/>
  <c r="L66" i="1"/>
  <c r="L62" i="1"/>
  <c r="L49" i="1"/>
  <c r="G43" i="1"/>
  <c r="G45" i="1"/>
  <c r="F55" i="1"/>
  <c r="E34" i="1"/>
  <c r="G34" i="1"/>
  <c r="F9" i="1"/>
  <c r="F12" i="1"/>
  <c r="F33" i="1"/>
  <c r="F36" i="1"/>
  <c r="E24" i="1"/>
  <c r="G24" i="1"/>
  <c r="E25" i="1"/>
  <c r="G25" i="1"/>
  <c r="F50" i="1"/>
  <c r="F31" i="1"/>
  <c r="F30" i="1"/>
  <c r="F29" i="1"/>
  <c r="F28" i="1"/>
  <c r="F44" i="1"/>
  <c r="F42" i="1"/>
  <c r="F41" i="1"/>
  <c r="F39" i="1"/>
  <c r="F38" i="1"/>
  <c r="F37" i="1"/>
  <c r="F71" i="1"/>
  <c r="F70" i="1"/>
  <c r="F69" i="1"/>
  <c r="F68" i="1"/>
  <c r="F67" i="1"/>
  <c r="F64" i="1"/>
  <c r="F63" i="1"/>
  <c r="F57" i="1"/>
  <c r="F58" i="1"/>
  <c r="F56" i="1"/>
  <c r="F54" i="1"/>
  <c r="F53" i="1"/>
  <c r="F52" i="1"/>
  <c r="F51" i="1"/>
  <c r="F5" i="1"/>
  <c r="F4" i="1"/>
  <c r="G139" i="4"/>
  <c r="H139" i="4"/>
  <c r="I139" i="4"/>
  <c r="K37" i="2"/>
  <c r="J107" i="2"/>
  <c r="J108" i="2"/>
  <c r="K3" i="2"/>
  <c r="K62" i="2"/>
  <c r="L48" i="1"/>
  <c r="F11" i="1"/>
  <c r="F8" i="1"/>
  <c r="G23" i="1"/>
  <c r="G40" i="1"/>
  <c r="F14" i="3"/>
  <c r="C14" i="3"/>
  <c r="L6" i="1"/>
  <c r="G32" i="1"/>
  <c r="G35" i="1"/>
  <c r="L26" i="1"/>
  <c r="F9" i="3"/>
  <c r="C9" i="3"/>
  <c r="G27" i="1"/>
  <c r="F11" i="3"/>
  <c r="C11" i="3"/>
  <c r="G3" i="1"/>
  <c r="E7" i="1"/>
  <c r="F10" i="3"/>
  <c r="C10" i="3"/>
  <c r="F10" i="1"/>
  <c r="F7" i="3"/>
  <c r="C7" i="3"/>
  <c r="F13" i="3"/>
  <c r="C13" i="3"/>
  <c r="G7" i="1"/>
  <c r="L74" i="1"/>
  <c r="G26" i="1"/>
  <c r="G48" i="1"/>
  <c r="F7" i="1"/>
  <c r="F12" i="3"/>
  <c r="C12" i="3"/>
  <c r="F5" i="3"/>
  <c r="C5" i="3"/>
  <c r="G6" i="1"/>
  <c r="I6" i="1"/>
  <c r="I3" i="1"/>
  <c r="I48" i="1"/>
  <c r="I26" i="1"/>
  <c r="F16" i="3"/>
  <c r="F17" i="3"/>
  <c r="F18" i="3"/>
  <c r="H75" i="1"/>
  <c r="H76" i="1"/>
  <c r="D4" i="3"/>
  <c r="D15" i="3"/>
  <c r="D8" i="3"/>
  <c r="D16" i="3"/>
  <c r="D3" i="3"/>
  <c r="G21" i="3"/>
  <c r="F21" i="3"/>
</calcChain>
</file>

<file path=xl/comments1.xml><?xml version="1.0" encoding="utf-8"?>
<comments xmlns="http://schemas.openxmlformats.org/spreadsheetml/2006/main">
  <authors>
    <author>Utilisateur Windows</author>
  </authors>
  <commentList>
    <comment ref="B9" authorId="0">
      <text>
        <r>
          <rPr>
            <b/>
            <sz val="9"/>
            <color indexed="81"/>
            <rFont val="Tahoma"/>
            <family val="2"/>
          </rPr>
          <t>Utilisateur Windows:</t>
        </r>
        <r>
          <rPr>
            <sz val="9"/>
            <color indexed="81"/>
            <rFont val="Tahoma"/>
            <family val="2"/>
          </rPr>
          <t xml:space="preserve">
</t>
        </r>
        <r>
          <rPr>
            <sz val="8"/>
            <color indexed="81"/>
            <rFont val="Tahoma"/>
            <family val="2"/>
          </rPr>
          <t>01 animateur par cercle d'intervention = 4</t>
        </r>
      </text>
    </comment>
    <comment ref="D39" authorId="0">
      <text>
        <r>
          <rPr>
            <b/>
            <sz val="9"/>
            <color indexed="81"/>
            <rFont val="Tahoma"/>
            <family val="2"/>
          </rPr>
          <t>Utilisateur Windows:</t>
        </r>
        <r>
          <rPr>
            <sz val="9"/>
            <color indexed="81"/>
            <rFont val="Tahoma"/>
            <family val="2"/>
          </rPr>
          <t xml:space="preserve">
</t>
        </r>
        <r>
          <rPr>
            <sz val="8"/>
            <color indexed="81"/>
            <rFont val="Tahoma"/>
            <family val="2"/>
          </rPr>
          <t>05 boites par cercle (5*4)</t>
        </r>
      </text>
    </comment>
    <comment ref="E39" authorId="0">
      <text>
        <r>
          <rPr>
            <b/>
            <sz val="9"/>
            <color indexed="81"/>
            <rFont val="Tahoma"/>
            <family val="2"/>
          </rPr>
          <t>Utilisateur Windows:</t>
        </r>
        <r>
          <rPr>
            <sz val="9"/>
            <color indexed="81"/>
            <rFont val="Tahoma"/>
            <family val="2"/>
          </rPr>
          <t xml:space="preserve">
A4 plastifie recto/verso photo coleur et raillure
</t>
        </r>
      </text>
    </comment>
    <comment ref="D42" authorId="0">
      <text>
        <r>
          <rPr>
            <b/>
            <sz val="9"/>
            <color indexed="81"/>
            <rFont val="Tahoma"/>
            <family val="2"/>
          </rPr>
          <t>Utilisateur Windows:</t>
        </r>
        <r>
          <rPr>
            <sz val="9"/>
            <color indexed="81"/>
            <rFont val="Tahoma"/>
            <family val="2"/>
          </rPr>
          <t xml:space="preserve">
</t>
        </r>
        <r>
          <rPr>
            <sz val="8"/>
            <color indexed="81"/>
            <rFont val="Tahoma"/>
            <family val="2"/>
          </rPr>
          <t>04 comites (01 comite par cercle)</t>
        </r>
      </text>
    </comment>
    <comment ref="D50" authorId="0">
      <text>
        <r>
          <rPr>
            <b/>
            <sz val="9"/>
            <color indexed="81"/>
            <rFont val="Tahoma"/>
            <family val="2"/>
          </rPr>
          <t>Utilisateur Windows:</t>
        </r>
        <r>
          <rPr>
            <sz val="9"/>
            <color indexed="81"/>
            <rFont val="Tahoma"/>
            <family val="2"/>
          </rPr>
          <t xml:space="preserve">
</t>
        </r>
        <r>
          <rPr>
            <sz val="8"/>
            <color indexed="81"/>
            <rFont val="Tahoma"/>
            <family val="2"/>
          </rPr>
          <t>1 formation en début projet pour 20 volontaire par cercle</t>
        </r>
      </text>
    </comment>
    <comment ref="D53" authorId="0">
      <text>
        <r>
          <rPr>
            <b/>
            <sz val="9"/>
            <color indexed="81"/>
            <rFont val="Tahoma"/>
            <family val="2"/>
          </rPr>
          <t>Utilisateur Windows:</t>
        </r>
        <r>
          <rPr>
            <sz val="9"/>
            <color indexed="81"/>
            <rFont val="Tahoma"/>
            <family val="2"/>
          </rPr>
          <t xml:space="preserve">
500 menages</t>
        </r>
      </text>
    </comment>
    <comment ref="E55" authorId="0">
      <text>
        <r>
          <rPr>
            <b/>
            <sz val="9"/>
            <color indexed="81"/>
            <rFont val="Tahoma"/>
            <charset val="1"/>
          </rPr>
          <t>Utilisateur Windows:</t>
        </r>
        <r>
          <rPr>
            <sz val="9"/>
            <color indexed="81"/>
            <rFont val="Tahoma"/>
            <charset val="1"/>
          </rPr>
          <t xml:space="preserve">
</t>
        </r>
        <r>
          <rPr>
            <sz val="8"/>
            <color indexed="81"/>
            <rFont val="Tahoma"/>
            <family val="2"/>
          </rPr>
          <t>3500 Fcfa des frais pour chaque distribution + 500Fcfa pour chaque carte BNF</t>
        </r>
      </text>
    </comment>
    <comment ref="D57" authorId="0">
      <text>
        <r>
          <rPr>
            <b/>
            <sz val="9"/>
            <color indexed="81"/>
            <rFont val="Tahoma"/>
            <family val="2"/>
          </rPr>
          <t>Utilisateur Windows:</t>
        </r>
        <r>
          <rPr>
            <sz val="9"/>
            <color indexed="81"/>
            <rFont val="Tahoma"/>
            <family val="2"/>
          </rPr>
          <t xml:space="preserve">
</t>
        </r>
        <r>
          <rPr>
            <sz val="8"/>
            <color indexed="81"/>
            <rFont val="Tahoma"/>
            <family val="2"/>
          </rPr>
          <t>un AGR /  cercle d'intervention</t>
        </r>
      </text>
    </comment>
    <comment ref="D58" authorId="0">
      <text>
        <r>
          <rPr>
            <b/>
            <sz val="9"/>
            <color indexed="81"/>
            <rFont val="Tahoma"/>
            <family val="2"/>
          </rPr>
          <t>Utilisateur Windows:</t>
        </r>
        <r>
          <rPr>
            <sz val="9"/>
            <color indexed="81"/>
            <rFont val="Tahoma"/>
            <family val="2"/>
          </rPr>
          <t xml:space="preserve">
</t>
        </r>
        <r>
          <rPr>
            <sz val="8"/>
            <color indexed="81"/>
            <rFont val="Tahoma"/>
            <family val="2"/>
          </rPr>
          <t>pendat les distributions TM pour changement de phase urgence/relevement</t>
        </r>
      </text>
    </comment>
    <comment ref="D63" authorId="0">
      <text>
        <r>
          <rPr>
            <b/>
            <sz val="9"/>
            <color indexed="81"/>
            <rFont val="Tahoma"/>
            <family val="2"/>
          </rPr>
          <t>Utilisateur Windows:</t>
        </r>
        <r>
          <rPr>
            <sz val="9"/>
            <color indexed="81"/>
            <rFont val="Tahoma"/>
            <family val="2"/>
          </rPr>
          <t xml:space="preserve">
</t>
        </r>
        <r>
          <rPr>
            <sz val="8"/>
            <color indexed="81"/>
            <rFont val="Tahoma"/>
            <family val="2"/>
          </rPr>
          <t>1 formation + 4 recyclages (chaque 6 mois) * 4 cercles d'intervention</t>
        </r>
      </text>
    </comment>
    <comment ref="D64" authorId="0">
      <text>
        <r>
          <rPr>
            <b/>
            <sz val="9"/>
            <color indexed="81"/>
            <rFont val="Tahoma"/>
            <family val="2"/>
          </rPr>
          <t>Utilisateur Windows:</t>
        </r>
        <r>
          <rPr>
            <sz val="9"/>
            <color indexed="81"/>
            <rFont val="Tahoma"/>
            <family val="2"/>
          </rPr>
          <t xml:space="preserve">
</t>
        </r>
        <r>
          <rPr>
            <sz val="8"/>
            <color indexed="81"/>
            <rFont val="Tahoma"/>
            <family val="2"/>
          </rPr>
          <t xml:space="preserve">01 journée de motivation de 20 volontaires *4 cercles *22 mois </t>
        </r>
      </text>
    </comment>
    <comment ref="D67" authorId="0">
      <text>
        <r>
          <rPr>
            <b/>
            <sz val="9"/>
            <color indexed="81"/>
            <rFont val="Tahoma"/>
            <family val="2"/>
          </rPr>
          <t>Utilisateur Windows:</t>
        </r>
        <r>
          <rPr>
            <sz val="9"/>
            <color indexed="81"/>
            <rFont val="Tahoma"/>
            <family val="2"/>
          </rPr>
          <t xml:space="preserve">
</t>
        </r>
        <r>
          <rPr>
            <sz val="8"/>
            <color indexed="81"/>
            <rFont val="Tahoma"/>
            <family val="2"/>
          </rPr>
          <t xml:space="preserve"> au moins 01 mission / mois?</t>
        </r>
      </text>
    </comment>
  </commentList>
</comments>
</file>

<file path=xl/comments2.xml><?xml version="1.0" encoding="utf-8"?>
<comments xmlns="http://schemas.openxmlformats.org/spreadsheetml/2006/main">
  <authors>
    <author>Armel KOMENA</author>
  </authors>
  <commentList>
    <comment ref="A16" authorId="0">
      <text>
        <r>
          <rPr>
            <b/>
            <sz val="9"/>
            <color indexed="81"/>
            <rFont val="Tahoma"/>
            <charset val="1"/>
          </rPr>
          <t>Armel KOMENA:</t>
        </r>
        <r>
          <rPr>
            <sz val="9"/>
            <color indexed="81"/>
            <rFont val="Tahoma"/>
            <charset val="1"/>
          </rPr>
          <t xml:space="preserve">
On peut en prévoir pour les postes secours et aussi un au niveau de l'entreprot</t>
        </r>
      </text>
    </comment>
    <comment ref="A21" authorId="0">
      <text>
        <r>
          <rPr>
            <b/>
            <sz val="9"/>
            <color indexed="81"/>
            <rFont val="Tahoma"/>
            <charset val="1"/>
          </rPr>
          <t>Armel KOMENA:</t>
        </r>
        <r>
          <rPr>
            <sz val="9"/>
            <color indexed="81"/>
            <rFont val="Tahoma"/>
            <charset val="1"/>
          </rPr>
          <t xml:space="preserve">
Au niveau de la région de Tahoua plus précisement à Tillia il ne serait pas interessant d'avoir un ordinateur pour l'équipe departemental, et des tablettes pour les postes de secours</t>
        </r>
      </text>
    </comment>
    <comment ref="A67" authorId="0">
      <text>
        <r>
          <rPr>
            <b/>
            <sz val="9"/>
            <color indexed="81"/>
            <rFont val="Tahoma"/>
            <charset val="1"/>
          </rPr>
          <t>Armel KOMENA:</t>
        </r>
        <r>
          <rPr>
            <sz val="9"/>
            <color indexed="81"/>
            <rFont val="Tahoma"/>
            <charset val="1"/>
          </rPr>
          <t xml:space="preserve">
Je pense qu'un appui au comité du département de tillia sera utilie surtout qu'il n'y aura pas d'équipe projet sur place et eux sont les principaux concerner. Le moment venu c'est eux qui feront plus de 50% du boulot : mobilisation des volontaires etc..</t>
        </r>
      </text>
    </comment>
    <comment ref="A68" authorId="0">
      <text>
        <r>
          <rPr>
            <b/>
            <sz val="9"/>
            <color indexed="81"/>
            <rFont val="Tahoma"/>
            <charset val="1"/>
          </rPr>
          <t>Armel KOMENA:</t>
        </r>
        <r>
          <rPr>
            <sz val="9"/>
            <color indexed="81"/>
            <rFont val="Tahoma"/>
            <charset val="1"/>
          </rPr>
          <t xml:space="preserve">
Je pense qu'un appui au comité du département de tillia sera utilie surtout qu'il n'y aura pas d'équipe projet sur place et eux sont les principaux concerner. Le moment venu c'est eux qui feront plus de 50% du boulot : mobilisation des volontaires etc..</t>
        </r>
      </text>
    </comment>
    <comment ref="A124" authorId="0">
      <text>
        <r>
          <rPr>
            <b/>
            <sz val="9"/>
            <color indexed="81"/>
            <rFont val="Tahoma"/>
            <charset val="1"/>
          </rPr>
          <t>Armel KOMENA:</t>
        </r>
        <r>
          <rPr>
            <sz val="9"/>
            <color indexed="81"/>
            <rFont val="Tahoma"/>
            <charset val="1"/>
          </rPr>
          <t xml:space="preserve">
Je pense que c'est peu car avec ce montant nous avons 1 jour de sensibilisation pour 10 volontaires par mois. Ma suggestion chaque mois on deploie 10 volontaires pour 5 jours de sensiblisations à raison de 5000 Fcfa / Jour.</t>
        </r>
      </text>
    </comment>
  </commentList>
</comments>
</file>

<file path=xl/sharedStrings.xml><?xml version="1.0" encoding="utf-8"?>
<sst xmlns="http://schemas.openxmlformats.org/spreadsheetml/2006/main" count="783" uniqueCount="393">
  <si>
    <t>BUDGET BURKINA FASO</t>
  </si>
  <si>
    <t>Budget Code Name</t>
  </si>
  <si>
    <t>Qté1</t>
  </si>
  <si>
    <t>Unité1</t>
  </si>
  <si>
    <t>Qté2</t>
  </si>
  <si>
    <t>Unité2</t>
  </si>
  <si>
    <t>Coût unitaire FCFA</t>
  </si>
  <si>
    <t>Coût tot FCFA</t>
  </si>
  <si>
    <t>Coût unitaire €</t>
  </si>
  <si>
    <t>Budget total</t>
  </si>
  <si>
    <t>R1</t>
  </si>
  <si>
    <t>R2</t>
  </si>
  <si>
    <t>not attributed to results</t>
  </si>
  <si>
    <t>1. Investissements</t>
  </si>
  <si>
    <t>Rehabilitation Comité Provincial Kaya</t>
  </si>
  <si>
    <t>forfait</t>
  </si>
  <si>
    <t>fois</t>
  </si>
  <si>
    <t>Rehabilitation Ouaga/Comité Provincial Djibo</t>
  </si>
  <si>
    <t>Achat vehicule Pickup</t>
  </si>
  <si>
    <t>Materiel de securité</t>
  </si>
  <si>
    <t>Equipement informatique et péri-informatique (téléphones portables, sourie, cle USB, batterie, clavier,disque dure)</t>
  </si>
  <si>
    <t>Ordinateur portable</t>
  </si>
  <si>
    <t>items</t>
  </si>
  <si>
    <t>Handset radio VHF avec antenne fixe</t>
  </si>
  <si>
    <t>item</t>
  </si>
  <si>
    <t>Acquisition de mobilier de bureau</t>
  </si>
  <si>
    <t xml:space="preserve">2. Ressources Humaines </t>
  </si>
  <si>
    <t>2.1 Personnel projet</t>
  </si>
  <si>
    <t>Assistant Coordinateur Santé chargé de la nutrition</t>
  </si>
  <si>
    <t>pers</t>
  </si>
  <si>
    <t>mois</t>
  </si>
  <si>
    <t>Responsable PCIMA/PCIME</t>
  </si>
  <si>
    <t>Responsable de projet</t>
  </si>
  <si>
    <t>Responsable suivi et evaluation/système d'information geopgraphique (SIG)</t>
  </si>
  <si>
    <t>Agent liaison communautaire (sécu) BAC+3</t>
  </si>
  <si>
    <t>Responsable collecte remonté des infos BAC</t>
  </si>
  <si>
    <t>Chauffeurs</t>
  </si>
  <si>
    <t>Responsable Cash</t>
  </si>
  <si>
    <t>Superviseur SAME resilience</t>
  </si>
  <si>
    <t>Superviseur assistence alimentaire</t>
  </si>
  <si>
    <t xml:space="preserve">Formateur Communautaire </t>
  </si>
  <si>
    <t>Responsable volet communautaire</t>
  </si>
  <si>
    <t>RH fin de contrat</t>
  </si>
  <si>
    <t>Assurance Maladie et Visite médicale</t>
  </si>
  <si>
    <t>2.2 Personnel support</t>
  </si>
  <si>
    <t>Comptable (RAF)</t>
  </si>
  <si>
    <t>Aide comptable</t>
  </si>
  <si>
    <t>Personnel Coordination CRBF (Contrôle interne, Resp. passation marchés, DAF, DRH, DEP, Coordo Santé, DRR, volontariat, responsable wash)</t>
  </si>
  <si>
    <t>2.3 Personnel expatrié / appui technique siège</t>
  </si>
  <si>
    <t>RT Urgences / TM</t>
  </si>
  <si>
    <t>ATAFAP</t>
  </si>
  <si>
    <t>ATSA-Cash</t>
  </si>
  <si>
    <t>Représentant pays CRB</t>
  </si>
  <si>
    <t>3. Fonctionnement</t>
  </si>
  <si>
    <t>3.1 Frais de véhicules</t>
  </si>
  <si>
    <t>Frais de vehicule (entretien, reparation, location)</t>
  </si>
  <si>
    <t>vehicules</t>
  </si>
  <si>
    <t>Carburant vehicule</t>
  </si>
  <si>
    <t>Assurance vehicule</t>
  </si>
  <si>
    <t>an</t>
  </si>
  <si>
    <t>Entretien de motos</t>
  </si>
  <si>
    <t>Carburant motos</t>
  </si>
  <si>
    <t>motos</t>
  </si>
  <si>
    <t>Location motos</t>
  </si>
  <si>
    <t>Location vehicules</t>
  </si>
  <si>
    <t>jours</t>
  </si>
  <si>
    <t>3.2 Frais de voyage</t>
  </si>
  <si>
    <t>Frais de suivi CRB</t>
  </si>
  <si>
    <t>Mission suivi siège CRB (2 opérationnels et 1 financier)</t>
  </si>
  <si>
    <t>3.3 Communication et visibilité</t>
  </si>
  <si>
    <t>Production materiel visibilité (photos, videos, temoignages, etc.)</t>
  </si>
  <si>
    <t xml:space="preserve">Frais de communication : fax,tél,courrier,internet… </t>
  </si>
  <si>
    <t>Frais communication Thuraya</t>
  </si>
  <si>
    <t>3.4 Bâtiments : loyers et utilitaires</t>
  </si>
  <si>
    <t>Bureaux  (location,assur, charges et services, petit mobilier)</t>
  </si>
  <si>
    <t>bureaux</t>
  </si>
  <si>
    <t>Appui fonctionnement des comités locaux (Djibo, Dori, Arbinda)</t>
  </si>
  <si>
    <t>Frais du bureau représentation CRB</t>
  </si>
  <si>
    <t>3.5 Fournitures et matériel</t>
  </si>
  <si>
    <t>Frais admin. (économat,frais bancaires, de représ.)</t>
  </si>
  <si>
    <t>3.6 Services externes</t>
  </si>
  <si>
    <t>Evaluation finale</t>
  </si>
  <si>
    <t xml:space="preserve">Audit interne </t>
  </si>
  <si>
    <t>4. Coûts opérationnels</t>
  </si>
  <si>
    <t>4.1 Résultat 1. Les personnes affectées par les conflits et les crises nutritionnelles bénéficient en temps opportun d’une prise en charge des besoins vitaux non couverts et d’une amélioration de leurs conditions de vie</t>
  </si>
  <si>
    <t>R1.A.1. Assistance alimentaire d’urgence aux déplacés internes et à leurs hôtes très pauvres non couverts par d’autres programmes d’assistance</t>
  </si>
  <si>
    <t>R1.A.1.1 Confection de coupons alimentaires</t>
  </si>
  <si>
    <t>coupons</t>
  </si>
  <si>
    <t>R1.A.1.2 Formation/recyclage des volontaires chargés de la distribution des coupons</t>
  </si>
  <si>
    <t>R1.A.1.3 Distribution des coupons aux ménages victimes ou affectés par les volontaires</t>
  </si>
  <si>
    <t>distributions</t>
  </si>
  <si>
    <t>R1.A.1.4 Contrôle qualité des vivres</t>
  </si>
  <si>
    <t>controleurs</t>
  </si>
  <si>
    <t>R1.A.1.5 Distribution des vivres aux ménages ciblés par des commerçants locaux à travers des coupons</t>
  </si>
  <si>
    <t>menages</t>
  </si>
  <si>
    <t>R1.A.1.6 Suivi conjoint de la distribution par des comités locaux</t>
  </si>
  <si>
    <t>personnes/jours</t>
  </si>
  <si>
    <t>R1.A.1.7 Rencontres préparatoires avec les distributeurs</t>
  </si>
  <si>
    <t>rencontres</t>
  </si>
  <si>
    <t xml:space="preserve">R1.A.2. Renforcement des capacités génératrices de revenus pour les personnes vulnérables affectées </t>
  </si>
  <si>
    <t>R1 A2.1 Cash transfer en faveur des menages vulnerables affectés pour le renforcement des AGR (agriculture et élevage)</t>
  </si>
  <si>
    <t>R1 A2.2. Formation des ménages sur les productions agricole et animale (frais formateurs)</t>
  </si>
  <si>
    <t>formateurs</t>
  </si>
  <si>
    <t>R1 A2.3. Formation des ménages sur les AGR (restauration participants)</t>
  </si>
  <si>
    <t>R1 A2.4. Cash transfer en faveur des jenues et femmes vulnérables affectés pour le renforcement des AGR (petit commerce)</t>
  </si>
  <si>
    <t>bénéf</t>
  </si>
  <si>
    <t>R1 A2.5. Formation des volontaires endogènes pour les AGR et les outils de suivi</t>
  </si>
  <si>
    <t>volontaires</t>
  </si>
  <si>
    <t>R1 A2.6. Suivi des bénéficiaires AGR par les volontaires endogènes</t>
  </si>
  <si>
    <t>visites</t>
  </si>
  <si>
    <t>R1.A.2.5 Mise en œuvre système retour d'informations</t>
  </si>
  <si>
    <t>ans</t>
  </si>
  <si>
    <t>4.2 Résultat 2. La Croix-Rouge Burkinabé et les autres acteurs locaux ont des capacités de préparation et de réponse aux crises renforcées</t>
  </si>
  <si>
    <t>R2.A1. Renforcement des capacités de la CRBF en collecte et analyse d’informations sécuritaires, humanitaires et la redevabilité.</t>
  </si>
  <si>
    <t>R2.A.1.1 Surveillance des incidents sécuritaires et de leurs effets dans les zones ciblées</t>
  </si>
  <si>
    <t>relais</t>
  </si>
  <si>
    <t>trimestres</t>
  </si>
  <si>
    <t>R2.A.1.2 Ciblages et évaluations des besoins humanitaires dans les zones affectées par les conflits</t>
  </si>
  <si>
    <t>R2.A.1.3 Renforcement de la CRBF en analyse des données et production des cartes avec l’outil système d'information géographique (SIG)</t>
  </si>
  <si>
    <t>formation</t>
  </si>
  <si>
    <t xml:space="preserve">R2.A.3. Renforcement des capacités locales en premiers secours </t>
  </si>
  <si>
    <t>R2.A.3.1 Dotation des comités locaux Croix-Rouge en matériel de 1er secours (Soum, Oudalam, Seno, Yagha, Bam, Sanmatenga)</t>
  </si>
  <si>
    <t>comités</t>
  </si>
  <si>
    <t>R2.A.3.2 Formation des volontaires et agents de santé sur premiers secours</t>
  </si>
  <si>
    <t>personnes</t>
  </si>
  <si>
    <t>cour</t>
  </si>
  <si>
    <t>R2.A4. Soutien à la coordination de l’assistance multisectorielle et promotion des principes humanitaires.</t>
  </si>
  <si>
    <t>R2.A.4.1 Réalisation conjointe d’enquêtes PDM/endline pour améliorer la qualité de l’assistance aux déplacés internes</t>
  </si>
  <si>
    <t>enquêtes</t>
  </si>
  <si>
    <t>R2.A.4.2 Mise en place d’un système formel de retour d’informations et de redevabilité au sein de la Croix-Rouge Burkinabè (rencontre avec beneficiaires)</t>
  </si>
  <si>
    <t>rencontre</t>
  </si>
  <si>
    <t>R2.A.4.3 Appui au suivi et à l’actualisation du plan d’assistance multisectorielle du Soum</t>
  </si>
  <si>
    <t>R2.A.4.4 Formation sur principes humanitaires dans la zone d’intervention pour améliorer l’accès humanitaire</t>
  </si>
  <si>
    <t>R2.A.5. Renforcement de la sécurité et de la sureté du personnel et des volontaires de la CRBF</t>
  </si>
  <si>
    <t>R2.A.5.1 Formation de l’équipe terrain et central en gestion de la sécurité</t>
  </si>
  <si>
    <t>sessions</t>
  </si>
  <si>
    <t>R2.A.5.2 Formation d’acteurs terrain sur le soutien psychosocial</t>
  </si>
  <si>
    <t>Appui technique expertise cash</t>
  </si>
  <si>
    <t>4.3 Planification, suivi et évaluation</t>
  </si>
  <si>
    <t>Frais de suivis CRBF</t>
  </si>
  <si>
    <t>provinces</t>
  </si>
  <si>
    <t>Rencontres trimestrielles de suivi interne du projet sur le terrain</t>
  </si>
  <si>
    <t>agents</t>
  </si>
  <si>
    <t>Rencontre de briefing de l'équipe projet à Ouaga</t>
  </si>
  <si>
    <t>Ateliers d'échanges régionaux (Burkina Faso, Mali et Niger)</t>
  </si>
  <si>
    <t>atelier</t>
  </si>
  <si>
    <t>Optimisation du fonctionnement du DREF dans le Sahel</t>
  </si>
  <si>
    <t>Formation/atelier CEA in emergency</t>
  </si>
  <si>
    <t xml:space="preserve">Ateliers de rédaction du RI et du rapport final du projet </t>
  </si>
  <si>
    <t>TOTAL</t>
  </si>
  <si>
    <t>Total costs</t>
  </si>
  <si>
    <t>Indirect costs (5,5%)</t>
  </si>
  <si>
    <t xml:space="preserve">GRAND TOTAL </t>
  </si>
  <si>
    <t>BUDGET MALI</t>
  </si>
  <si>
    <t>Taux euro:</t>
  </si>
  <si>
    <t>DESCRIPTION</t>
  </si>
  <si>
    <t>Unité</t>
  </si>
  <si>
    <t>Quantité</t>
  </si>
  <si>
    <t>Cout unitaire FCFA</t>
  </si>
  <si>
    <t>Cout Unitaire Eur</t>
  </si>
  <si>
    <t>Total FCFA</t>
  </si>
  <si>
    <t>Total  EUR</t>
  </si>
  <si>
    <t>R3</t>
  </si>
  <si>
    <t>R4</t>
  </si>
  <si>
    <t>Materiel multimedia equipe projet (ordinateurs, imprimantes)</t>
  </si>
  <si>
    <t>Forfait</t>
  </si>
  <si>
    <t>Mobilier bureau equipe projet</t>
  </si>
  <si>
    <t>2. Ressources Humaines</t>
  </si>
  <si>
    <t xml:space="preserve">2.1 Personnel Projet </t>
  </si>
  <si>
    <t>Chef de Projet Mopti (100%)</t>
  </si>
  <si>
    <t>Animateurs/ices (100%)*4</t>
  </si>
  <si>
    <t>Comptable Projet Mopti (100%)</t>
  </si>
  <si>
    <t>Gardiens Bureau Mopti (100%)*1</t>
  </si>
  <si>
    <t>Frais de publication  des postes et  recrutement équipe projet</t>
  </si>
  <si>
    <t xml:space="preserve">unité </t>
  </si>
  <si>
    <t>Contribution au salaire SG National (25%)</t>
  </si>
  <si>
    <t>Contribution au salaire chargé suivi evaluation (50%)</t>
  </si>
  <si>
    <t>Contribution au salaire SGR Mopti  (25%)</t>
  </si>
  <si>
    <t>Contribution au salaire du Chef DOP CRM (15%)</t>
  </si>
  <si>
    <t>Contribution au salaire du Coordinateur Programmes (10%)</t>
  </si>
  <si>
    <t>Contribution au salaire Chef Dept Comptabilité et finances siège (15%)</t>
  </si>
  <si>
    <t>Contribution au salaire du Chef de Dept. RH (50%)</t>
  </si>
  <si>
    <t>Contribution au salaire du PF TM National (50%)</t>
  </si>
  <si>
    <t>Police Assurance volontaires</t>
  </si>
  <si>
    <t>2.3 Personnel expatrié/ appui technique siège</t>
  </si>
  <si>
    <t>Répresentant Pays CRB</t>
  </si>
  <si>
    <t xml:space="preserve">3.1 Frais de Vehicules </t>
  </si>
  <si>
    <t>Carburant vehicule (location)</t>
  </si>
  <si>
    <t>Carburant vehicule representation CRB Bamako</t>
  </si>
  <si>
    <t>Entretien et assurance vehicule representation CRB Bamako</t>
  </si>
  <si>
    <t xml:space="preserve">Location vehicule </t>
  </si>
  <si>
    <t>3.2 Frais de voyages</t>
  </si>
  <si>
    <t>Mission suivi Délégation CRB (RP / Chauffeur / AAF)</t>
  </si>
  <si>
    <t>mission</t>
  </si>
  <si>
    <t>Frais de communication personnel projet Mopti</t>
  </si>
  <si>
    <t xml:space="preserve">Frais de communication CRM Mopti et Bamako </t>
  </si>
  <si>
    <t>Frais de visibilité (dossards, badges)</t>
  </si>
  <si>
    <t>Acquisitions d’outils de sensibilisation (boite à images)</t>
  </si>
  <si>
    <t>3.4 Bâtiments: loyers et utilitaires</t>
  </si>
  <si>
    <t xml:space="preserve">Contribution charges Comité Régional Mopti </t>
  </si>
  <si>
    <t>Appui fonctionnement des comités locaux CRM</t>
  </si>
  <si>
    <t>Fournitures bureau CRM (Mopti et Bamako) et frais financiers (virements banque)</t>
  </si>
  <si>
    <t>Audit interne</t>
  </si>
  <si>
    <t>4.1 Résultat 3: Les ménages ciblés les plus vulnérables des cercles de Bandiagara, Bankass, Djenne et Koro ont bénéficié d’assistances par transfert monétaire leur permettant de répondre efficacement à leurs besoins prioritaires immédiates ainsi qu’à entamer un relèvement précoce.</t>
  </si>
  <si>
    <t>A1 R3. Formation de volontaires CRM Mopti (en Transfert Monétaire, ciblage de bénéficiaires, identification des besoins)</t>
  </si>
  <si>
    <t>Formation</t>
  </si>
  <si>
    <t xml:space="preserve">A2 R3.  Evaluation des besoins prioritaires et disponibilité des produits de base sur le marché </t>
  </si>
  <si>
    <t>unité</t>
  </si>
  <si>
    <t>A3 R3. Ciblage des bénéficiaires</t>
  </si>
  <si>
    <t>A5 R3. Distribution Transfert monétaire Phase urgence. (*2)</t>
  </si>
  <si>
    <r>
      <t>A6 R3. Distribution Transfert monétaire Phase relèvement</t>
    </r>
    <r>
      <rPr>
        <sz val="8"/>
        <color rgb="FFFF0000"/>
        <rFont val="Arial"/>
        <family val="2"/>
      </rPr>
      <t xml:space="preserve"> </t>
    </r>
    <r>
      <rPr>
        <sz val="8"/>
        <rFont val="Arial"/>
        <family val="2"/>
      </rPr>
      <t>(*2)</t>
    </r>
  </si>
  <si>
    <t xml:space="preserve">A5 et A6 R3 : Frais administratis du Prestataire pour TM + carte SIM beneficiaires </t>
  </si>
  <si>
    <t xml:space="preserve">A5 et A6 R3. Monitoring Post-Distribution </t>
  </si>
  <si>
    <t xml:space="preserve">A7 R3. Promotion des AGR communautaires </t>
  </si>
  <si>
    <t xml:space="preserve">A8 R3. Évaluation continue des besoins </t>
  </si>
  <si>
    <t>Mise en œuvre système de retour d'information</t>
  </si>
  <si>
    <t>4.2 Résultat 4 : Les communautés locales mieux informées et sensibilisées ont renforcé leur cohésion sociale et sont en mesure de prévenir plus efficacement certaines maladies liées à la mauvaise hygiène et la malnutrition.</t>
  </si>
  <si>
    <t>A1 R4. Formation et recyclage des volontaires sur la méthode PHAST, nutrition et sécurité alimentaire et sur la gestion préventive des conflits, la diplomatie humanitaire et l’Engagement communautaire et la redevabilité</t>
  </si>
  <si>
    <t>A2 R4. Séance de sensibilisation (thématiques en lien avec l’urgence: l’hygiène, nutrition, santé, sécurité alimentaire la prévention de conflits et la cohésion sociale.</t>
  </si>
  <si>
    <t>Séance</t>
  </si>
  <si>
    <t>A3 R4. Evaluation de la sécurité dans la zone et élaboration d’un plan local de sécurité et de sureté pour les employés et les volontaires du comité Régional CRM à Mopti</t>
  </si>
  <si>
    <t>4.3 Planification, suivi, évaluation</t>
  </si>
  <si>
    <t>Mission suivi equipe projet (hebergement et perdiems)</t>
  </si>
  <si>
    <t>Mission suivi Comité Régional CRM Mopti + SGR Mopti</t>
  </si>
  <si>
    <t>Mission suivi Département des Opérations CRM et siège National  (PF TM / Suivi/evaluation / Logistique / Finances)</t>
  </si>
  <si>
    <t>Réunions trimestrielles comité suivi</t>
  </si>
  <si>
    <t xml:space="preserve">Atelier sous régional (CRM/CRN/CRBF) </t>
  </si>
  <si>
    <t>Taux:</t>
  </si>
  <si>
    <t>BUDGET NIGER</t>
  </si>
  <si>
    <t>Nombre</t>
  </si>
  <si>
    <t>Prix Unit XOF</t>
  </si>
  <si>
    <t>Montant XOF</t>
  </si>
  <si>
    <t>Montant EUROS</t>
  </si>
  <si>
    <t>R5</t>
  </si>
  <si>
    <t>R6</t>
  </si>
  <si>
    <t>1. INVESTISSEMENTS</t>
  </si>
  <si>
    <t>1.1 Immobilier</t>
  </si>
  <si>
    <t>Construction et réhabilitation</t>
  </si>
  <si>
    <t>Construction Entrepot Tahoua/Tillia</t>
  </si>
  <si>
    <t>entrepot</t>
  </si>
  <si>
    <t>Construction de 05 Postes d'Urgence communautaires dans les communes ciblées</t>
  </si>
  <si>
    <t>Postes</t>
  </si>
  <si>
    <t>Réhabiliation Bureau Comité Départemental Tillia et Régional de Tahoua</t>
  </si>
  <si>
    <t>1.2 Mobilier</t>
  </si>
  <si>
    <t>Matériel roulant</t>
  </si>
  <si>
    <t>Véhicule projet</t>
  </si>
  <si>
    <t>véhicule</t>
  </si>
  <si>
    <t>Matériel sécurité véhicule (radio,…)</t>
  </si>
  <si>
    <t>matériel</t>
  </si>
  <si>
    <t>Motos</t>
  </si>
  <si>
    <t>moto</t>
  </si>
  <si>
    <t>Equipement de bureau</t>
  </si>
  <si>
    <t>Bureau</t>
  </si>
  <si>
    <t>Chaise</t>
  </si>
  <si>
    <t>Groupe électrogène (entrepot et Comité Tillia)</t>
  </si>
  <si>
    <t>Groupe</t>
  </si>
  <si>
    <t>Groupe électrogène (poste de secours)</t>
  </si>
  <si>
    <t>Matériels informatique</t>
  </si>
  <si>
    <t>ordinateur portable</t>
  </si>
  <si>
    <t>Imprimante</t>
  </si>
  <si>
    <t>imprimante</t>
  </si>
  <si>
    <t xml:space="preserve">Smarphones ou Tablette  pour la conduite des enquêtes </t>
  </si>
  <si>
    <t>smartphones</t>
  </si>
  <si>
    <t>2. RESSOURCES HUMAINES</t>
  </si>
  <si>
    <t>Coordonnateur Préparation et Réponse aux catastrophes (75%)</t>
  </si>
  <si>
    <t>personne</t>
  </si>
  <si>
    <t>Assistant Préparation et Réponse aux catastrophes</t>
  </si>
  <si>
    <t>Coordonnateur Transferts Monétaires</t>
  </si>
  <si>
    <t>Admin/Finan</t>
  </si>
  <si>
    <t>Coordonnateur des Programmes</t>
  </si>
  <si>
    <t>Coordonnateur Suivi-Evaluation</t>
  </si>
  <si>
    <t>Chauffeur</t>
  </si>
  <si>
    <t>Gardien</t>
  </si>
  <si>
    <t>Assurance maladie personnel</t>
  </si>
  <si>
    <t>années</t>
  </si>
  <si>
    <t>Indemnité Gardiennage entrepot Tahoua</t>
  </si>
  <si>
    <t>Indemnités fin de contrat personnel</t>
  </si>
  <si>
    <t>Coordonnateur Logistique (25%)</t>
  </si>
  <si>
    <t>Coordonnateur RH</t>
  </si>
  <si>
    <t>Personnel d'appui</t>
  </si>
  <si>
    <t>2.3 Personnel RH Expatrié/ appui technique siège</t>
  </si>
  <si>
    <t>Délégué DRR CRB</t>
  </si>
  <si>
    <t>Représentant Pays CRB</t>
  </si>
  <si>
    <t>3. FONCTIONNEMENT</t>
  </si>
  <si>
    <t>3.1 Frais de véhicule</t>
  </si>
  <si>
    <t>Frais véhicule (carburant, assurance, entretien)</t>
  </si>
  <si>
    <t>Frais moto (carburant, assurance, entretien) (X7)</t>
  </si>
  <si>
    <t>Achat accessoires vehicule (galerie de toit, pneus, crique, jerrycan)</t>
  </si>
  <si>
    <t>Location véhicule</t>
  </si>
  <si>
    <t>Suivi par la Représentation CRB</t>
  </si>
  <si>
    <t>Mission Délégué DRR</t>
  </si>
  <si>
    <t xml:space="preserve">fois </t>
  </si>
  <si>
    <t>Mission Délégué TM</t>
  </si>
  <si>
    <t>Mission supervision RP</t>
  </si>
  <si>
    <t>Suivi Siège CRB</t>
  </si>
  <si>
    <t>Mission staff siège (2 opérationnels et 1 financier)</t>
  </si>
  <si>
    <t xml:space="preserve">Communication staff projet </t>
  </si>
  <si>
    <t>Internet au Bureau du comité départementale</t>
  </si>
  <si>
    <t>Gilet</t>
  </si>
  <si>
    <t>gillet</t>
  </si>
  <si>
    <t>Kit Premier secours</t>
  </si>
  <si>
    <t>Kit</t>
  </si>
  <si>
    <t>Support Sensibilisation (Affiche, prospectus, boite à images etc)</t>
  </si>
  <si>
    <t>Réalisation d'un film documentaire sur le projet</t>
  </si>
  <si>
    <t>document</t>
  </si>
  <si>
    <t>3.4 Bâtiments  : loyers et utilitaires</t>
  </si>
  <si>
    <t>Charges locatives bureau CRN</t>
  </si>
  <si>
    <t xml:space="preserve">forfait </t>
  </si>
  <si>
    <t>Appui au fonctionnement comité régionale Tahoua</t>
  </si>
  <si>
    <t>Appui au fonctionnement comité départemental de Tilia</t>
  </si>
  <si>
    <t>Frais de fonctionnement comités et siège CRN</t>
  </si>
  <si>
    <t xml:space="preserve">Economat </t>
  </si>
  <si>
    <t>Frais bancaires</t>
  </si>
  <si>
    <t>Frais de transfert mobile money / western … (3% du montant transféré)</t>
  </si>
  <si>
    <t>Frais de fonctionnement représentation CRB</t>
  </si>
  <si>
    <t>Frais administratifs (economat)</t>
  </si>
  <si>
    <t>Frais de bureaux (location, charges locatives)</t>
  </si>
  <si>
    <t>Frais de Communication (tel + Internet)</t>
  </si>
  <si>
    <t>Frais véhicule Véhicule (carburant + assurance)</t>
  </si>
  <si>
    <t>Frais d'audit</t>
  </si>
  <si>
    <t>Evaluation Externe</t>
  </si>
  <si>
    <t>4. PROGRAMME SOCIAL</t>
  </si>
  <si>
    <t xml:space="preserve">4.1 Résultat 5 : Les capacités  opérationnelles de  réponse aux crises et catastrophes au niveau national et régional de la CRN sont renforcées pour mieux servir les communautés affectées par les catastrophes récurrentes 
</t>
  </si>
  <si>
    <t xml:space="preserve">R5.A1 : Elaboration d’une stratégie de gestion des risques de catastrophes, développement et vulgarisation d’outils standards de gestion des catastrophes </t>
  </si>
  <si>
    <t>Politique et Stratégie</t>
  </si>
  <si>
    <t>Frais de consultance pour Elaboration du document portant politique et stratégie de gestion des risques de catastrophes</t>
  </si>
  <si>
    <t>consultance</t>
  </si>
  <si>
    <t xml:space="preserve">Atelier national de présentation et validation du document portant politique et stratégie Gestion (Gouvernance CRN et Responsable Mvt CR, Resp Depart CRN ) </t>
  </si>
  <si>
    <t>Développement d’outils standards de gestion des catastrophes ( Plan de contingence, procédures Opérationnelles Normalisées, fiche d’évaluation d’urgence, Template de rapport, Template de plan d’action)</t>
  </si>
  <si>
    <t>Elaboration des outils</t>
  </si>
  <si>
    <t>outils</t>
  </si>
  <si>
    <t xml:space="preserve">Atelier technique de validation </t>
  </si>
  <si>
    <t>Reproduction et distribution du document de la strategie et des outils</t>
  </si>
  <si>
    <t>Vulgarisation de la stratégie et des outils de gestion de catastrophes</t>
  </si>
  <si>
    <t>Session d'information et d'orientation des comités régionaux sur la stratégie et les outils</t>
  </si>
  <si>
    <t>session</t>
  </si>
  <si>
    <t>R5.A2 : Identification, formation et opérationnalisation des équipes de réponse aux urgences nationale et régionales</t>
  </si>
  <si>
    <t xml:space="preserve">Evaluation et Selection des meilleurs profils parmi les volontaires </t>
  </si>
  <si>
    <t>Organisation des formations (01 ENRU; 05 ERRU, 01 EDRU, 05 ECRU)</t>
  </si>
  <si>
    <t xml:space="preserve">formation </t>
  </si>
  <si>
    <t>Formations de recyclage</t>
  </si>
  <si>
    <t>recyclage</t>
  </si>
  <si>
    <t>Elaboration de plan de contingences multirisques pour chaque région</t>
  </si>
  <si>
    <t>plan</t>
  </si>
  <si>
    <t>Formation des volontaires sur la veille humanitaire</t>
  </si>
  <si>
    <t xml:space="preserve">Exercices de simulations </t>
  </si>
  <si>
    <t>simuation</t>
  </si>
  <si>
    <t>Déployement des ressources en cas d'urgence</t>
  </si>
  <si>
    <t>Déploiement</t>
  </si>
  <si>
    <t xml:space="preserve">R5.A3:  Positionnement de la CRN comme acteur opérationnel du dispositif national de réponses aux urgences </t>
  </si>
  <si>
    <t>Appui à l’élaboration des plans de contingence Réponse aux urgences ou ORSEC des structures gouvernementales au niveau régions intégrant les éléments des plans de contingence de la CRN</t>
  </si>
  <si>
    <t xml:space="preserve">4.2 Résultat 6 : Les ménages les plus vulnérables parmi les déplacés et les communautés hôtes affectés par les conflits dans le département de Tillia, Région de Tahoua couvrent leurs besoins alimentaires de base et protègent leurs moyens d’existence par le biais de transferts monétaires </t>
  </si>
  <si>
    <t xml:space="preserve">
</t>
  </si>
  <si>
    <t>R6.A1 : Mise à jour de l’évaluation de faisabilité de Transferts monétaires dans la  zone</t>
  </si>
  <si>
    <t>Mise à jour étude faisabilité</t>
  </si>
  <si>
    <t>R6.A2 : Analyse des besoins / Ciblage des bénéficiaires (département Tillia - région de Tahoua)</t>
  </si>
  <si>
    <t>Analyse des besoins prioritaires</t>
  </si>
  <si>
    <t xml:space="preserve">Ciblage des bénéficiaires </t>
  </si>
  <si>
    <t>R6.A3 : Formations de volontaires CRN du département de Tilia et activités de sensibilisations des volontaires</t>
  </si>
  <si>
    <t xml:space="preserve">Organisation des formations </t>
  </si>
  <si>
    <t>Formation PGI</t>
  </si>
  <si>
    <t>R6.A4 : Assistance multisectorielle envers les populations les plus vulnérables via des Transferts monétaires</t>
  </si>
  <si>
    <t>Distribution Transfert monétaire Phase urgence</t>
  </si>
  <si>
    <t>distribution</t>
  </si>
  <si>
    <t>ménages</t>
  </si>
  <si>
    <t>Distribution Transfert monétaire Phase relèvement</t>
  </si>
  <si>
    <t>Couts mise en œuvre activité TM</t>
  </si>
  <si>
    <t xml:space="preserve">Monitoring Post-Distribution </t>
  </si>
  <si>
    <t xml:space="preserve">Évaluation continue des besoins </t>
  </si>
  <si>
    <t>R6.A5: Séances de sensibilisation (thématiques en lien avec l’urgence: l’hygiène, nutrition, santé, sécurité alimentaire la prévention de conflits et la cohésion sociale.</t>
  </si>
  <si>
    <t xml:space="preserve">Séance de sensibilisation </t>
  </si>
  <si>
    <t>séance</t>
  </si>
  <si>
    <t>Emissions Radio / Spot sur les sensibilisations thématiques</t>
  </si>
  <si>
    <t>spot</t>
  </si>
  <si>
    <t>4.3 Suivi et évaluation</t>
  </si>
  <si>
    <t xml:space="preserve">Niveau national </t>
  </si>
  <si>
    <t>Per Diem Supervision CRN Niamey</t>
  </si>
  <si>
    <t>suivis</t>
  </si>
  <si>
    <t xml:space="preserve">Billet ou Chauffeur + Carburant </t>
  </si>
  <si>
    <t>Niveau Régional - Tahoua</t>
  </si>
  <si>
    <t>Perdiem de supervision par la Gouvernance ( 8 suivis pour 2 personnes)</t>
  </si>
  <si>
    <t xml:space="preserve">Carburant Véhicule </t>
  </si>
  <si>
    <t>Niveau Départemental</t>
  </si>
  <si>
    <t>Perdiem du superviseur départemental Tillia</t>
  </si>
  <si>
    <t>TOTAL Coût Direct</t>
  </si>
  <si>
    <t>5,5% Frais de structure</t>
  </si>
  <si>
    <t>TOTAL Général</t>
  </si>
  <si>
    <t>BUDGET COMPILE</t>
  </si>
  <si>
    <t>Montant Total EUROS</t>
  </si>
  <si>
    <t>Burkina Faso</t>
  </si>
  <si>
    <t>Mali</t>
  </si>
  <si>
    <t>Niger</t>
  </si>
  <si>
    <t>2.3 Personnel RH Expatrié</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</si>
</sst>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quot;€&quot;\ * #,##0.00_ ;_ &quot;€&quot;\ * \-#,##0.00_ ;_ &quot;€&quot;\ * &quot;-&quot;??_ ;_ @_ "/>
    <numFmt numFmtId="165" formatCode="_ * #,##0.00_ ;_ * \-#,##0.00_ ;_ * &quot;-&quot;??_ ;_ @_ "/>
    <numFmt numFmtId="166" formatCode="_(* #,##0.000_);_(* \(#,##0.000\);_(* &quot;-&quot;??_);_(@_)"/>
    <numFmt numFmtId="167" formatCode="_(* #,##0_);_(* \(#,##0\);_(* &quot;-&quot;??_);_(@_)"/>
    <numFmt numFmtId="168" formatCode="0.0%"/>
    <numFmt numFmtId="169" formatCode="_(* #,##0.0_);_(* \(#,##0.0\);_(* &quot;-&quot;??_);_(@_)"/>
    <numFmt numFmtId="170" formatCode="_ [$€-80C]\ * #,##0.00_ ;_ [$€-80C]\ * \-#,##0.00_ ;_ [$€-80C]\ * &quot;-&quot;??_ ;_ @_ "/>
  </numFmts>
  <fonts count="37" x14ac:knownFonts="1">
    <font>
      <sz val="11"/>
      <color theme="1"/>
      <name val="Calibri"/>
      <family val="2"/>
      <scheme val="minor"/>
    </font>
    <font>
      <b/>
      <sz val="8"/>
      <color rgb="FF000000"/>
      <name val="Arial"/>
      <family val="2"/>
    </font>
    <font>
      <b/>
      <sz val="9"/>
      <color indexed="81"/>
      <name val="Tahoma"/>
      <family val="2"/>
    </font>
    <font>
      <sz val="9"/>
      <color indexed="81"/>
      <name val="Tahoma"/>
      <family val="2"/>
    </font>
    <font>
      <sz val="8"/>
      <color indexed="81"/>
      <name val="Tahoma"/>
      <family val="2"/>
    </font>
    <font>
      <sz val="8"/>
      <color rgb="FF000000"/>
      <name val="Arial"/>
      <family val="2"/>
    </font>
    <font>
      <b/>
      <i/>
      <sz val="8"/>
      <color rgb="FF000000"/>
      <name val="Arial"/>
      <family val="2"/>
    </font>
    <font>
      <sz val="8"/>
      <name val="Arial"/>
      <family val="2"/>
    </font>
    <font>
      <sz val="8"/>
      <color theme="1"/>
      <name val="Arial"/>
      <family val="2"/>
    </font>
    <font>
      <sz val="8"/>
      <color rgb="FFFF0000"/>
      <name val="Arial"/>
      <family val="2"/>
    </font>
    <font>
      <sz val="8"/>
      <color theme="1"/>
      <name val="Calibri"/>
      <family val="2"/>
      <scheme val="minor"/>
    </font>
    <font>
      <b/>
      <sz val="8"/>
      <color rgb="FF0000FF"/>
      <name val="Arial"/>
      <family val="2"/>
    </font>
    <font>
      <sz val="11"/>
      <color theme="1"/>
      <name val="Arial"/>
      <family val="2"/>
    </font>
    <font>
      <sz val="11"/>
      <color theme="1"/>
      <name val="Calibri"/>
      <family val="2"/>
      <scheme val="minor"/>
    </font>
    <font>
      <sz val="9"/>
      <color indexed="81"/>
      <name val="Tahoma"/>
      <charset val="1"/>
    </font>
    <font>
      <b/>
      <sz val="9"/>
      <color indexed="81"/>
      <name val="Tahoma"/>
      <charset val="1"/>
    </font>
    <font>
      <sz val="10"/>
      <name val="Arial"/>
      <family val="2"/>
    </font>
    <font>
      <b/>
      <sz val="11"/>
      <color theme="1"/>
      <name val="Calibri"/>
      <family val="2"/>
      <scheme val="minor"/>
    </font>
    <font>
      <b/>
      <sz val="10"/>
      <name val="Arial"/>
      <family val="2"/>
    </font>
    <font>
      <sz val="12"/>
      <name val="Arial"/>
      <family val="2"/>
    </font>
    <font>
      <b/>
      <sz val="26"/>
      <color rgb="FFC00000"/>
      <name val="Arial"/>
      <family val="2"/>
    </font>
    <font>
      <b/>
      <sz val="10"/>
      <color rgb="FFC00000"/>
      <name val="Arial"/>
      <family val="2"/>
    </font>
    <font>
      <b/>
      <sz val="11"/>
      <name val="Arial"/>
      <family val="2"/>
    </font>
    <font>
      <b/>
      <sz val="12"/>
      <name val="Arial"/>
      <family val="2"/>
    </font>
    <font>
      <b/>
      <sz val="16"/>
      <color theme="0"/>
      <name val="Arial"/>
      <family val="2"/>
    </font>
    <font>
      <sz val="16"/>
      <name val="Arial"/>
      <family val="2"/>
    </font>
    <font>
      <b/>
      <sz val="14"/>
      <color theme="1"/>
      <name val="Arial"/>
      <family val="2"/>
    </font>
    <font>
      <sz val="14"/>
      <color theme="1"/>
      <name val="Arial"/>
      <family val="2"/>
    </font>
    <font>
      <b/>
      <i/>
      <sz val="12"/>
      <name val="Arial"/>
      <family val="2"/>
    </font>
    <font>
      <b/>
      <sz val="16"/>
      <name val="Arial"/>
      <family val="2"/>
    </font>
    <font>
      <b/>
      <sz val="18"/>
      <color theme="0"/>
      <name val="Arial"/>
      <family val="2"/>
    </font>
    <font>
      <b/>
      <sz val="16"/>
      <color rgb="FFC00000"/>
      <name val="Arial"/>
      <family val="2"/>
    </font>
    <font>
      <b/>
      <sz val="12"/>
      <color theme="0"/>
      <name val="Arial"/>
      <family val="2"/>
    </font>
    <font>
      <b/>
      <sz val="11"/>
      <color theme="1"/>
      <name val="Arial"/>
      <family val="2"/>
    </font>
    <font>
      <b/>
      <sz val="9"/>
      <color theme="1"/>
      <name val="Arial"/>
      <family val="2"/>
    </font>
    <font>
      <sz val="12"/>
      <color theme="1"/>
      <name val="Arial"/>
      <family val="2"/>
    </font>
    <font>
      <sz val="16"/>
      <color theme="0"/>
      <name val="Arial"/>
      <family val="2"/>
    </font>
  </fonts>
  <fills count="14">
    <fill>
      <patternFill patternType="none"/>
    </fill>
    <fill>
      <patternFill patternType="gray125"/>
    </fill>
    <fill>
      <patternFill patternType="solid">
        <fgColor rgb="FFFFFFFF"/>
        <bgColor indexed="64"/>
      </patternFill>
    </fill>
    <fill>
      <patternFill patternType="solid">
        <fgColor rgb="FFC0C0C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bgColor indexed="64"/>
      </patternFill>
    </fill>
    <fill>
      <patternFill patternType="solid">
        <fgColor theme="0"/>
        <bgColor indexed="64"/>
      </patternFill>
    </fill>
    <fill>
      <patternFill patternType="solid">
        <fgColor theme="6" tint="0.79998168889431442"/>
        <bgColor indexed="64"/>
      </patternFill>
    </fill>
  </fills>
  <borders count="46">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style="thin">
        <color rgb="FF000000"/>
      </top>
      <bottom/>
      <diagonal/>
    </border>
    <border>
      <left style="medium">
        <color indexed="64"/>
      </left>
      <right style="medium">
        <color indexed="64"/>
      </right>
      <top style="thin">
        <color rgb="FF000000"/>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bottom style="medium">
        <color indexed="64"/>
      </bottom>
      <diagonal/>
    </border>
  </borders>
  <cellStyleXfs count="5">
    <xf numFmtId="0" fontId="0" fillId="0" borderId="0"/>
    <xf numFmtId="9" fontId="13" fillId="0" borderId="0" applyFont="0" applyFill="0" applyBorder="0" applyAlignment="0" applyProtection="0"/>
    <xf numFmtId="165" fontId="13" fillId="0" borderId="0" applyFont="0" applyFill="0" applyBorder="0" applyAlignment="0" applyProtection="0"/>
    <xf numFmtId="0" fontId="16" fillId="0" borderId="0"/>
    <xf numFmtId="164" fontId="13" fillId="0" borderId="0" applyFont="0" applyFill="0" applyBorder="0" applyAlignment="0" applyProtection="0"/>
  </cellStyleXfs>
  <cellXfs count="290">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0" borderId="4" xfId="0" applyFont="1" applyFill="1" applyBorder="1" applyAlignment="1">
      <alignment vertical="center" wrapText="1"/>
    </xf>
    <xf numFmtId="9" fontId="0" fillId="0" borderId="0" xfId="1" applyFont="1"/>
    <xf numFmtId="4" fontId="5" fillId="2" borderId="4" xfId="0" applyNumberFormat="1" applyFont="1" applyFill="1" applyBorder="1" applyAlignment="1">
      <alignment horizontal="right" vertical="center" wrapText="1"/>
    </xf>
    <xf numFmtId="4" fontId="5" fillId="2" borderId="4" xfId="0" quotePrefix="1" applyNumberFormat="1" applyFont="1" applyFill="1" applyBorder="1" applyAlignment="1">
      <alignment horizontal="right" vertical="center" wrapText="1"/>
    </xf>
    <xf numFmtId="4" fontId="5" fillId="2" borderId="1" xfId="0" applyNumberFormat="1" applyFont="1" applyFill="1" applyBorder="1" applyAlignment="1">
      <alignment horizontal="right" vertical="center" wrapText="1"/>
    </xf>
    <xf numFmtId="4" fontId="5" fillId="2" borderId="1" xfId="0" quotePrefix="1" applyNumberFormat="1" applyFont="1" applyFill="1" applyBorder="1" applyAlignment="1">
      <alignment horizontal="right" vertical="center" wrapText="1"/>
    </xf>
    <xf numFmtId="0" fontId="11" fillId="0" borderId="0" xfId="0" applyFont="1" applyFill="1" applyBorder="1" applyAlignment="1">
      <alignment horizontal="center" vertical="center" wrapText="1"/>
    </xf>
    <xf numFmtId="4" fontId="11" fillId="0" borderId="0" xfId="0" applyNumberFormat="1" applyFont="1" applyFill="1" applyBorder="1" applyAlignment="1">
      <alignment horizontal="right" vertical="center" wrapText="1"/>
    </xf>
    <xf numFmtId="0" fontId="10" fillId="0" borderId="0" xfId="0" applyFont="1" applyFill="1" applyBorder="1"/>
    <xf numFmtId="0" fontId="5" fillId="0" borderId="0" xfId="0" applyFont="1" applyFill="1" applyBorder="1" applyAlignment="1">
      <alignment horizontal="left"/>
    </xf>
    <xf numFmtId="0" fontId="5" fillId="0" borderId="0" xfId="0" applyFont="1" applyFill="1" applyBorder="1" applyAlignment="1">
      <alignment horizontal="left" vertical="center"/>
    </xf>
    <xf numFmtId="0" fontId="5" fillId="0" borderId="2" xfId="0" applyFont="1" applyFill="1" applyBorder="1" applyAlignment="1">
      <alignment vertical="center" wrapText="1"/>
    </xf>
    <xf numFmtId="0" fontId="7" fillId="0" borderId="2"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4" fontId="5" fillId="0" borderId="4" xfId="0" applyNumberFormat="1" applyFont="1" applyFill="1" applyBorder="1" applyAlignment="1">
      <alignment horizontal="righ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5" fillId="0" borderId="9" xfId="0" applyNumberFormat="1" applyFont="1" applyFill="1" applyBorder="1" applyAlignment="1">
      <alignment horizontal="right" vertical="center" wrapText="1"/>
    </xf>
    <xf numFmtId="0" fontId="5" fillId="0" borderId="10" xfId="0" applyFont="1" applyFill="1" applyBorder="1" applyAlignment="1">
      <alignment horizontal="center" vertical="center" wrapText="1"/>
    </xf>
    <xf numFmtId="4" fontId="5" fillId="0" borderId="11" xfId="0"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4" fontId="5" fillId="0" borderId="4" xfId="0" quotePrefix="1" applyNumberFormat="1" applyFont="1" applyFill="1" applyBorder="1" applyAlignment="1">
      <alignment horizontal="right" vertical="center" wrapText="1"/>
    </xf>
    <xf numFmtId="0" fontId="5" fillId="0" borderId="4" xfId="0" applyFont="1" applyFill="1" applyBorder="1" applyAlignment="1">
      <alignment vertical="center" wrapText="1"/>
    </xf>
    <xf numFmtId="0" fontId="8" fillId="0" borderId="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4" fontId="5" fillId="0" borderId="14" xfId="0" applyNumberFormat="1" applyFont="1" applyFill="1" applyBorder="1" applyAlignment="1">
      <alignment horizontal="right" vertical="center" wrapText="1"/>
    </xf>
    <xf numFmtId="0" fontId="5" fillId="0" borderId="14" xfId="0" applyFont="1" applyFill="1" applyBorder="1" applyAlignment="1">
      <alignment vertical="center" wrapText="1"/>
    </xf>
    <xf numFmtId="0" fontId="0" fillId="0" borderId="0" xfId="0" applyFill="1" applyBorder="1" applyAlignment="1">
      <alignment horizontal="left" vertical="center"/>
    </xf>
    <xf numFmtId="4"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vertical="center" wrapText="1"/>
    </xf>
    <xf numFmtId="0" fontId="5" fillId="0" borderId="13" xfId="0" applyFont="1" applyFill="1" applyBorder="1" applyAlignment="1">
      <alignment vertical="center" wrapText="1"/>
    </xf>
    <xf numFmtId="9" fontId="0" fillId="0" borderId="0" xfId="1" applyFont="1" applyFill="1" applyBorder="1" applyAlignment="1">
      <alignment horizontal="left" vertical="center"/>
    </xf>
    <xf numFmtId="0" fontId="12" fillId="0" borderId="0" xfId="0" applyFont="1"/>
    <xf numFmtId="0" fontId="8" fillId="0" borderId="0" xfId="0" applyFont="1"/>
    <xf numFmtId="0" fontId="8" fillId="0" borderId="4" xfId="0" applyFont="1" applyFill="1" applyBorder="1" applyAlignment="1">
      <alignment vertical="center" wrapText="1"/>
    </xf>
    <xf numFmtId="1" fontId="8" fillId="0" borderId="4"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165" fontId="8" fillId="0" borderId="4" xfId="2"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165" fontId="11" fillId="3" borderId="4" xfId="2" applyFont="1" applyFill="1" applyBorder="1" applyAlignment="1">
      <alignment horizontal="center" vertical="center" wrapText="1"/>
    </xf>
    <xf numFmtId="0" fontId="8" fillId="0" borderId="0" xfId="0" applyFont="1" applyFill="1" applyBorder="1"/>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4" fontId="5" fillId="2" borderId="19" xfId="0" applyNumberFormat="1" applyFont="1" applyFill="1" applyBorder="1" applyAlignment="1">
      <alignment horizontal="right" vertical="center" wrapText="1"/>
    </xf>
    <xf numFmtId="0" fontId="5" fillId="0" borderId="20" xfId="0" applyFont="1" applyFill="1" applyBorder="1" applyAlignment="1">
      <alignment vertical="center" wrapText="1"/>
    </xf>
    <xf numFmtId="0" fontId="6" fillId="0" borderId="16" xfId="0" applyFont="1" applyFill="1" applyBorder="1" applyAlignment="1">
      <alignment vertical="center" wrapText="1"/>
    </xf>
    <xf numFmtId="0" fontId="5" fillId="0" borderId="21" xfId="0" applyFont="1" applyFill="1" applyBorder="1" applyAlignment="1">
      <alignment vertical="center" wrapText="1"/>
    </xf>
    <xf numFmtId="0" fontId="6" fillId="0" borderId="21" xfId="0" applyFont="1" applyFill="1" applyBorder="1" applyAlignment="1">
      <alignment vertical="center" wrapText="1"/>
    </xf>
    <xf numFmtId="0" fontId="5" fillId="2" borderId="22" xfId="0" applyFont="1" applyFill="1" applyBorder="1" applyAlignment="1">
      <alignment horizontal="center" vertical="center" wrapText="1"/>
    </xf>
    <xf numFmtId="4" fontId="5" fillId="0" borderId="19" xfId="0" applyNumberFormat="1" applyFont="1" applyFill="1" applyBorder="1" applyAlignment="1">
      <alignment horizontal="right" vertical="center" wrapText="1"/>
    </xf>
    <xf numFmtId="4" fontId="5" fillId="2" borderId="19" xfId="0" quotePrefix="1" applyNumberFormat="1" applyFont="1" applyFill="1" applyBorder="1" applyAlignment="1">
      <alignment horizontal="right" vertical="center" wrapText="1"/>
    </xf>
    <xf numFmtId="0" fontId="6" fillId="0" borderId="23"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24" xfId="0" applyFont="1" applyFill="1" applyBorder="1" applyAlignment="1">
      <alignment vertical="center" wrapText="1"/>
    </xf>
    <xf numFmtId="0" fontId="1" fillId="0" borderId="21" xfId="0" applyFont="1" applyFill="1" applyBorder="1" applyAlignment="1">
      <alignment vertical="center" wrapText="1"/>
    </xf>
    <xf numFmtId="0" fontId="5" fillId="0" borderId="19" xfId="0" applyFont="1" applyFill="1" applyBorder="1" applyAlignment="1">
      <alignment horizontal="center" vertical="center" wrapText="1"/>
    </xf>
    <xf numFmtId="0" fontId="10" fillId="0" borderId="0" xfId="0" applyFont="1" applyFill="1"/>
    <xf numFmtId="0" fontId="5" fillId="0" borderId="0" xfId="0" applyFont="1" applyFill="1" applyBorder="1" applyAlignment="1">
      <alignment horizontal="right" vertical="center" wrapText="1"/>
    </xf>
    <xf numFmtId="0" fontId="11" fillId="5" borderId="4" xfId="0" applyFont="1" applyFill="1" applyBorder="1" applyAlignment="1">
      <alignment horizontal="center" vertical="center" wrapText="1"/>
    </xf>
    <xf numFmtId="4" fontId="11" fillId="5" borderId="4" xfId="0" applyNumberFormat="1" applyFont="1" applyFill="1" applyBorder="1" applyAlignment="1">
      <alignment horizontal="right" vertical="center" wrapText="1"/>
    </xf>
    <xf numFmtId="0" fontId="1" fillId="5" borderId="4" xfId="0" applyFont="1" applyFill="1" applyBorder="1" applyAlignment="1">
      <alignment horizontal="center" wrapText="1"/>
    </xf>
    <xf numFmtId="0" fontId="5" fillId="5" borderId="4" xfId="0" applyFont="1" applyFill="1" applyBorder="1" applyAlignment="1">
      <alignment vertical="center" wrapText="1"/>
    </xf>
    <xf numFmtId="0" fontId="8" fillId="0" borderId="0" xfId="0" applyFont="1" applyFill="1" applyBorder="1" applyAlignment="1">
      <alignment vertical="center" wrapText="1"/>
    </xf>
    <xf numFmtId="1" fontId="8"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65" fontId="8" fillId="0" borderId="0" xfId="2"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165" fontId="11" fillId="3" borderId="28" xfId="2" applyFont="1" applyFill="1" applyBorder="1" applyAlignment="1">
      <alignment horizontal="center" vertical="center" wrapText="1"/>
    </xf>
    <xf numFmtId="165" fontId="11" fillId="3" borderId="21" xfId="2" applyFont="1" applyFill="1" applyBorder="1" applyAlignment="1">
      <alignment horizontal="center" vertical="center" wrapText="1"/>
    </xf>
    <xf numFmtId="165" fontId="11" fillId="3" borderId="29" xfId="2" applyFont="1" applyFill="1" applyBorder="1" applyAlignment="1">
      <alignment horizontal="center" vertical="center" wrapText="1"/>
    </xf>
    <xf numFmtId="165" fontId="11" fillId="3" borderId="19" xfId="2" applyFont="1" applyFill="1" applyBorder="1" applyAlignment="1">
      <alignment horizontal="center" vertical="center" wrapText="1"/>
    </xf>
    <xf numFmtId="165" fontId="11" fillId="3" borderId="23" xfId="2" applyFont="1" applyFill="1" applyBorder="1" applyAlignment="1">
      <alignment horizontal="center" vertical="center" wrapText="1"/>
    </xf>
    <xf numFmtId="165" fontId="11" fillId="3" borderId="30" xfId="2" applyFont="1" applyFill="1" applyBorder="1" applyAlignment="1">
      <alignment horizontal="center" vertical="center" wrapText="1"/>
    </xf>
    <xf numFmtId="165" fontId="11" fillId="3" borderId="1" xfId="2" applyFont="1" applyFill="1" applyBorder="1" applyAlignment="1">
      <alignment horizontal="center" vertical="center" wrapText="1"/>
    </xf>
    <xf numFmtId="165" fontId="11" fillId="3" borderId="15" xfId="2" applyFont="1" applyFill="1" applyBorder="1" applyAlignment="1">
      <alignment horizontal="center" vertical="center" wrapText="1"/>
    </xf>
    <xf numFmtId="0" fontId="8" fillId="0" borderId="28" xfId="0" applyFont="1" applyFill="1" applyBorder="1" applyAlignment="1">
      <alignment vertical="center" wrapText="1"/>
    </xf>
    <xf numFmtId="165" fontId="8" fillId="0" borderId="21" xfId="2" applyFont="1" applyFill="1" applyBorder="1" applyAlignment="1">
      <alignment horizontal="center" vertical="center" wrapText="1"/>
    </xf>
    <xf numFmtId="0" fontId="8" fillId="0" borderId="29" xfId="0" applyFont="1" applyFill="1" applyBorder="1" applyAlignment="1">
      <alignment vertical="center" wrapText="1"/>
    </xf>
    <xf numFmtId="1" fontId="8" fillId="0" borderId="19" xfId="0" applyNumberFormat="1" applyFont="1" applyFill="1" applyBorder="1" applyAlignment="1">
      <alignment horizontal="center" vertical="center" wrapText="1"/>
    </xf>
    <xf numFmtId="2" fontId="8" fillId="0" borderId="19" xfId="0" applyNumberFormat="1" applyFont="1" applyFill="1" applyBorder="1" applyAlignment="1">
      <alignment horizontal="center" vertical="center" wrapText="1"/>
    </xf>
    <xf numFmtId="165" fontId="8" fillId="0" borderId="19" xfId="2" applyFont="1" applyFill="1" applyBorder="1" applyAlignment="1">
      <alignment horizontal="center" vertical="center" wrapText="1"/>
    </xf>
    <xf numFmtId="165" fontId="8" fillId="0" borderId="23" xfId="2" applyFont="1" applyFill="1" applyBorder="1" applyAlignment="1">
      <alignment horizontal="center" vertical="center" wrapText="1"/>
    </xf>
    <xf numFmtId="0" fontId="8" fillId="0" borderId="21" xfId="0" applyFont="1" applyFill="1" applyBorder="1" applyAlignment="1">
      <alignment vertical="center" wrapText="1"/>
    </xf>
    <xf numFmtId="0" fontId="8" fillId="0" borderId="19" xfId="0" applyFont="1" applyFill="1" applyBorder="1" applyAlignment="1">
      <alignment vertical="center" wrapText="1"/>
    </xf>
    <xf numFmtId="0" fontId="8" fillId="0" borderId="23" xfId="0" applyFont="1" applyFill="1" applyBorder="1" applyAlignment="1">
      <alignment vertical="center" wrapText="1"/>
    </xf>
    <xf numFmtId="167" fontId="20" fillId="0" borderId="0" xfId="2" applyNumberFormat="1" applyFont="1" applyAlignment="1">
      <alignment vertical="center" wrapText="1"/>
    </xf>
    <xf numFmtId="167" fontId="22" fillId="7" borderId="34" xfId="2" applyNumberFormat="1" applyFont="1" applyFill="1" applyBorder="1" applyAlignment="1">
      <alignment horizontal="center" vertical="center" wrapText="1"/>
    </xf>
    <xf numFmtId="167" fontId="22" fillId="7" borderId="35" xfId="2" applyNumberFormat="1" applyFont="1" applyFill="1" applyBorder="1" applyAlignment="1">
      <alignment horizontal="center" vertical="center" wrapText="1"/>
    </xf>
    <xf numFmtId="167" fontId="22" fillId="7" borderId="36" xfId="2" applyNumberFormat="1" applyFont="1" applyFill="1" applyBorder="1" applyAlignment="1">
      <alignment horizontal="center" vertical="center" wrapText="1"/>
    </xf>
    <xf numFmtId="167" fontId="24" fillId="8" borderId="37" xfId="2" applyNumberFormat="1" applyFont="1" applyFill="1" applyBorder="1" applyAlignment="1">
      <alignment horizontal="left" vertical="center" wrapText="1"/>
    </xf>
    <xf numFmtId="167" fontId="24" fillId="8" borderId="31" xfId="2" applyNumberFormat="1" applyFont="1" applyFill="1" applyBorder="1" applyAlignment="1">
      <alignment horizontal="left" vertical="center" wrapText="1"/>
    </xf>
    <xf numFmtId="167" fontId="24" fillId="8" borderId="31" xfId="2" applyNumberFormat="1" applyFont="1" applyFill="1" applyBorder="1" applyAlignment="1">
      <alignment horizontal="center" vertical="center" wrapText="1"/>
    </xf>
    <xf numFmtId="167" fontId="24" fillId="8" borderId="31" xfId="2" applyNumberFormat="1" applyFont="1" applyFill="1" applyBorder="1" applyAlignment="1">
      <alignment horizontal="right" vertical="center" wrapText="1"/>
    </xf>
    <xf numFmtId="167" fontId="26" fillId="4" borderId="28" xfId="2" applyNumberFormat="1" applyFont="1" applyFill="1" applyBorder="1" applyAlignment="1">
      <alignment horizontal="left" vertical="center" wrapText="1"/>
    </xf>
    <xf numFmtId="167" fontId="26" fillId="4" borderId="4" xfId="2" applyNumberFormat="1" applyFont="1" applyFill="1" applyBorder="1" applyAlignment="1">
      <alignment horizontal="left" vertical="center" wrapText="1"/>
    </xf>
    <xf numFmtId="167" fontId="26" fillId="4" borderId="4" xfId="2" applyNumberFormat="1" applyFont="1" applyFill="1" applyBorder="1" applyAlignment="1">
      <alignment horizontal="center" vertical="center" wrapText="1"/>
    </xf>
    <xf numFmtId="167" fontId="26" fillId="4" borderId="4" xfId="2" applyNumberFormat="1" applyFont="1" applyFill="1" applyBorder="1" applyAlignment="1">
      <alignment horizontal="right" vertical="center" wrapText="1"/>
    </xf>
    <xf numFmtId="0" fontId="23" fillId="9" borderId="38" xfId="0" applyFont="1" applyFill="1" applyBorder="1" applyAlignment="1">
      <alignment horizontal="left" vertical="center" wrapText="1"/>
    </xf>
    <xf numFmtId="0" fontId="23" fillId="9" borderId="39" xfId="0" applyFont="1" applyFill="1" applyBorder="1" applyAlignment="1">
      <alignment horizontal="left" vertical="center" wrapText="1"/>
    </xf>
    <xf numFmtId="167" fontId="23" fillId="9" borderId="3" xfId="2" applyNumberFormat="1" applyFont="1" applyFill="1" applyBorder="1" applyAlignment="1">
      <alignment vertical="center" wrapText="1"/>
    </xf>
    <xf numFmtId="167" fontId="23" fillId="9" borderId="21" xfId="2" applyNumberFormat="1" applyFont="1" applyFill="1" applyBorder="1" applyAlignment="1">
      <alignment horizontal="right" vertical="center" wrapText="1"/>
    </xf>
    <xf numFmtId="167" fontId="23" fillId="9" borderId="28" xfId="2" applyNumberFormat="1" applyFont="1" applyFill="1" applyBorder="1" applyAlignment="1">
      <alignment vertical="center" wrapText="1"/>
    </xf>
    <xf numFmtId="167" fontId="23" fillId="9" borderId="40" xfId="2" applyNumberFormat="1" applyFont="1" applyFill="1" applyBorder="1" applyAlignment="1">
      <alignment vertical="center" wrapText="1"/>
    </xf>
    <xf numFmtId="167" fontId="19" fillId="0" borderId="30" xfId="2" applyNumberFormat="1" applyFont="1" applyFill="1" applyBorder="1" applyAlignment="1">
      <alignment horizontal="left" vertical="center" wrapText="1"/>
    </xf>
    <xf numFmtId="167" fontId="19" fillId="0" borderId="1" xfId="2" applyNumberFormat="1" applyFont="1" applyFill="1" applyBorder="1" applyAlignment="1">
      <alignment horizontal="left" vertical="center" wrapText="1"/>
    </xf>
    <xf numFmtId="167" fontId="19" fillId="0" borderId="1" xfId="2" applyNumberFormat="1" applyFont="1" applyFill="1" applyBorder="1" applyAlignment="1">
      <alignment horizontal="center" vertical="center" wrapText="1"/>
    </xf>
    <xf numFmtId="167" fontId="19" fillId="0" borderId="1" xfId="2" applyNumberFormat="1" applyFont="1" applyFill="1" applyBorder="1" applyAlignment="1">
      <alignment horizontal="right" vertical="center" wrapText="1"/>
    </xf>
    <xf numFmtId="167" fontId="19" fillId="0" borderId="4" xfId="2" applyNumberFormat="1" applyFont="1" applyFill="1" applyBorder="1" applyAlignment="1">
      <alignment horizontal="right" vertical="center" wrapText="1"/>
    </xf>
    <xf numFmtId="167" fontId="19" fillId="0" borderId="28" xfId="2" applyNumberFormat="1" applyFont="1" applyFill="1" applyBorder="1" applyAlignment="1">
      <alignment horizontal="right" vertical="center" wrapText="1"/>
    </xf>
    <xf numFmtId="167" fontId="19" fillId="0" borderId="21" xfId="2" applyNumberFormat="1" applyFont="1" applyFill="1" applyBorder="1" applyAlignment="1">
      <alignment horizontal="right" vertical="center" wrapText="1"/>
    </xf>
    <xf numFmtId="167" fontId="19" fillId="0" borderId="28" xfId="2" applyNumberFormat="1" applyFont="1" applyFill="1" applyBorder="1" applyAlignment="1">
      <alignment vertical="center" wrapText="1"/>
    </xf>
    <xf numFmtId="167" fontId="19" fillId="0" borderId="4" xfId="2" applyNumberFormat="1" applyFont="1" applyFill="1" applyBorder="1" applyAlignment="1">
      <alignment horizontal="left" vertical="center" wrapText="1"/>
    </xf>
    <xf numFmtId="167" fontId="19" fillId="0" borderId="4" xfId="2" applyNumberFormat="1" applyFont="1" applyFill="1" applyBorder="1" applyAlignment="1">
      <alignment horizontal="center" vertical="center" wrapText="1"/>
    </xf>
    <xf numFmtId="167" fontId="19" fillId="0" borderId="4" xfId="2" applyNumberFormat="1" applyFont="1" applyFill="1" applyBorder="1" applyAlignment="1">
      <alignment vertical="center" wrapText="1"/>
    </xf>
    <xf numFmtId="167" fontId="19" fillId="0" borderId="28" xfId="2" applyNumberFormat="1" applyFont="1" applyFill="1" applyBorder="1" applyAlignment="1">
      <alignment horizontal="left" vertical="center" wrapText="1"/>
    </xf>
    <xf numFmtId="0" fontId="19" fillId="0" borderId="28" xfId="2" applyNumberFormat="1" applyFont="1" applyFill="1" applyBorder="1" applyAlignment="1">
      <alignment vertical="center" wrapText="1"/>
    </xf>
    <xf numFmtId="167" fontId="24" fillId="8" borderId="28" xfId="2" applyNumberFormat="1" applyFont="1" applyFill="1" applyBorder="1" applyAlignment="1">
      <alignment horizontal="left" vertical="center" wrapText="1"/>
    </xf>
    <xf numFmtId="167" fontId="24" fillId="8" borderId="4" xfId="2" applyNumberFormat="1" applyFont="1" applyFill="1" applyBorder="1" applyAlignment="1">
      <alignment horizontal="left" vertical="center" wrapText="1"/>
    </xf>
    <xf numFmtId="167" fontId="24" fillId="8" borderId="4" xfId="2" applyNumberFormat="1" applyFont="1" applyFill="1" applyBorder="1" applyAlignment="1">
      <alignment horizontal="center" vertical="center" wrapText="1"/>
    </xf>
    <xf numFmtId="167" fontId="24" fillId="8" borderId="4" xfId="2" applyNumberFormat="1" applyFont="1" applyFill="1" applyBorder="1" applyAlignment="1">
      <alignment horizontal="right" vertical="center" wrapText="1"/>
    </xf>
    <xf numFmtId="168" fontId="23" fillId="0" borderId="0" xfId="1" applyNumberFormat="1" applyFont="1" applyFill="1" applyBorder="1" applyAlignment="1">
      <alignment horizontal="center" vertical="center" wrapText="1"/>
    </xf>
    <xf numFmtId="0" fontId="19" fillId="10" borderId="38" xfId="0" applyFont="1" applyFill="1" applyBorder="1" applyAlignment="1">
      <alignment horizontal="left" vertical="center" wrapText="1"/>
    </xf>
    <xf numFmtId="0" fontId="19" fillId="10" borderId="39" xfId="0" applyFont="1" applyFill="1" applyBorder="1" applyAlignment="1">
      <alignment horizontal="left" vertical="center" wrapText="1"/>
    </xf>
    <xf numFmtId="167" fontId="19" fillId="10" borderId="3" xfId="2" applyNumberFormat="1" applyFont="1" applyFill="1" applyBorder="1" applyAlignment="1">
      <alignment vertical="center" wrapText="1"/>
    </xf>
    <xf numFmtId="167" fontId="19" fillId="10" borderId="21" xfId="2" applyNumberFormat="1" applyFont="1" applyFill="1" applyBorder="1" applyAlignment="1">
      <alignment horizontal="right" vertical="center" wrapText="1"/>
    </xf>
    <xf numFmtId="167" fontId="19" fillId="10" borderId="28" xfId="2" applyNumberFormat="1" applyFont="1" applyFill="1" applyBorder="1" applyAlignment="1">
      <alignment vertical="center" wrapText="1"/>
    </xf>
    <xf numFmtId="167" fontId="19" fillId="10" borderId="40" xfId="2" applyNumberFormat="1" applyFont="1" applyFill="1" applyBorder="1" applyAlignment="1">
      <alignment vertical="center" wrapText="1"/>
    </xf>
    <xf numFmtId="0" fontId="19" fillId="0" borderId="28" xfId="0" applyFont="1" applyFill="1" applyBorder="1" applyAlignment="1">
      <alignment vertical="center" wrapText="1"/>
    </xf>
    <xf numFmtId="0" fontId="19" fillId="0" borderId="28" xfId="0" applyFont="1" applyBorder="1" applyAlignment="1">
      <alignment vertical="center" wrapText="1"/>
    </xf>
    <xf numFmtId="167" fontId="19" fillId="5" borderId="21" xfId="2" applyNumberFormat="1" applyFont="1" applyFill="1" applyBorder="1" applyAlignment="1">
      <alignment horizontal="right" vertical="center" wrapText="1"/>
    </xf>
    <xf numFmtId="167" fontId="19" fillId="0" borderId="21" xfId="2" applyNumberFormat="1" applyFont="1" applyFill="1" applyBorder="1" applyAlignment="1">
      <alignment vertical="center" wrapText="1"/>
    </xf>
    <xf numFmtId="167" fontId="19" fillId="0" borderId="14" xfId="2" applyNumberFormat="1" applyFont="1" applyFill="1" applyBorder="1" applyAlignment="1">
      <alignment horizontal="right" vertical="center" wrapText="1"/>
    </xf>
    <xf numFmtId="167" fontId="19" fillId="0" borderId="41" xfId="2" applyNumberFormat="1" applyFont="1" applyFill="1" applyBorder="1" applyAlignment="1">
      <alignment horizontal="right" vertical="center" wrapText="1"/>
    </xf>
    <xf numFmtId="167" fontId="19" fillId="0" borderId="24" xfId="2" applyNumberFormat="1" applyFont="1" applyFill="1" applyBorder="1" applyAlignment="1">
      <alignment horizontal="right" vertical="center" wrapText="1"/>
    </xf>
    <xf numFmtId="167" fontId="29" fillId="11" borderId="43" xfId="2" applyNumberFormat="1" applyFont="1" applyFill="1" applyBorder="1" applyAlignment="1">
      <alignment vertical="center" wrapText="1"/>
    </xf>
    <xf numFmtId="167" fontId="29" fillId="11" borderId="43" xfId="2" applyNumberFormat="1" applyFont="1" applyFill="1" applyBorder="1" applyAlignment="1">
      <alignment horizontal="center" vertical="center" wrapText="1"/>
    </xf>
    <xf numFmtId="167" fontId="19" fillId="0" borderId="34" xfId="2" applyNumberFormat="1" applyFont="1" applyFill="1" applyBorder="1" applyAlignment="1">
      <alignment vertical="center" wrapText="1"/>
    </xf>
    <xf numFmtId="167" fontId="19" fillId="0" borderId="35" xfId="2" applyNumberFormat="1" applyFont="1" applyFill="1" applyBorder="1" applyAlignment="1">
      <alignment horizontal="left" vertical="center" wrapText="1"/>
    </xf>
    <xf numFmtId="169" fontId="19" fillId="0" borderId="35" xfId="2" applyNumberFormat="1" applyFont="1" applyFill="1" applyBorder="1" applyAlignment="1">
      <alignment horizontal="center" vertical="center" wrapText="1"/>
    </xf>
    <xf numFmtId="167" fontId="19" fillId="0" borderId="35" xfId="2" applyNumberFormat="1" applyFont="1" applyFill="1" applyBorder="1" applyAlignment="1">
      <alignment horizontal="center" vertical="center" wrapText="1"/>
    </xf>
    <xf numFmtId="167" fontId="19" fillId="0" borderId="35" xfId="2" applyNumberFormat="1" applyFont="1" applyFill="1" applyBorder="1" applyAlignment="1">
      <alignment horizontal="right" vertical="center" wrapText="1"/>
    </xf>
    <xf numFmtId="167" fontId="19" fillId="0" borderId="36" xfId="2" applyNumberFormat="1" applyFont="1" applyFill="1" applyBorder="1" applyAlignment="1">
      <alignment horizontal="right" vertical="center" wrapText="1"/>
    </xf>
    <xf numFmtId="167" fontId="19" fillId="0" borderId="0" xfId="2" applyNumberFormat="1" applyFont="1" applyFill="1" applyBorder="1" applyAlignment="1">
      <alignment horizontal="right" vertical="center" wrapText="1"/>
    </xf>
    <xf numFmtId="167" fontId="30" fillId="8" borderId="42" xfId="2" applyNumberFormat="1" applyFont="1" applyFill="1" applyBorder="1" applyAlignment="1">
      <alignment vertical="center" wrapText="1"/>
    </xf>
    <xf numFmtId="167" fontId="30" fillId="8" borderId="43" xfId="2" applyNumberFormat="1" applyFont="1" applyFill="1" applyBorder="1" applyAlignment="1">
      <alignment vertical="center" wrapText="1"/>
    </xf>
    <xf numFmtId="167" fontId="30" fillId="8" borderId="43" xfId="2" applyNumberFormat="1" applyFont="1" applyFill="1" applyBorder="1" applyAlignment="1">
      <alignment horizontal="center" vertical="center" wrapText="1"/>
    </xf>
    <xf numFmtId="167" fontId="30" fillId="0" borderId="0" xfId="2" applyNumberFormat="1" applyFont="1" applyFill="1" applyBorder="1" applyAlignment="1">
      <alignment horizontal="right" vertical="center" wrapText="1"/>
    </xf>
    <xf numFmtId="0" fontId="18"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6" fontId="19" fillId="6" borderId="0" xfId="2" applyNumberFormat="1" applyFont="1" applyFill="1" applyAlignment="1">
      <alignment horizontal="right" vertical="center" wrapText="1"/>
    </xf>
    <xf numFmtId="166" fontId="19" fillId="6" borderId="0" xfId="2" applyNumberFormat="1" applyFont="1" applyFill="1" applyAlignment="1">
      <alignment horizontal="left" vertical="center" wrapText="1"/>
    </xf>
    <xf numFmtId="167" fontId="19" fillId="0" borderId="0" xfId="2" applyNumberFormat="1" applyFont="1" applyAlignment="1">
      <alignment vertical="center" wrapText="1"/>
    </xf>
    <xf numFmtId="0" fontId="19" fillId="0" borderId="0" xfId="0" applyFont="1" applyFill="1" applyAlignment="1">
      <alignment horizontal="left" vertical="center" wrapText="1"/>
    </xf>
    <xf numFmtId="167" fontId="19" fillId="0" borderId="0" xfId="2" applyNumberFormat="1" applyFont="1" applyAlignment="1">
      <alignment horizontal="right" vertical="center" wrapText="1"/>
    </xf>
    <xf numFmtId="0" fontId="23" fillId="0" borderId="0" xfId="0" applyFont="1" applyFill="1" applyAlignment="1">
      <alignment horizontal="left" vertical="center" wrapText="1"/>
    </xf>
    <xf numFmtId="167" fontId="24" fillId="8" borderId="32" xfId="2" applyNumberFormat="1" applyFont="1" applyFill="1" applyBorder="1" applyAlignment="1">
      <alignment horizontal="right" vertical="center" wrapText="1"/>
    </xf>
    <xf numFmtId="168" fontId="23" fillId="0" borderId="0" xfId="1" applyNumberFormat="1" applyFont="1" applyFill="1" applyAlignment="1">
      <alignment horizontal="center" vertical="center" wrapText="1"/>
    </xf>
    <xf numFmtId="167" fontId="24" fillId="8" borderId="37" xfId="2" applyNumberFormat="1" applyFont="1" applyFill="1" applyBorder="1" applyAlignment="1">
      <alignment horizontal="right" vertical="center" wrapText="1"/>
    </xf>
    <xf numFmtId="0" fontId="25" fillId="0" borderId="0" xfId="0" applyFont="1" applyAlignment="1">
      <alignment vertical="center" wrapText="1"/>
    </xf>
    <xf numFmtId="167" fontId="26" fillId="4" borderId="21" xfId="2" applyNumberFormat="1" applyFont="1" applyFill="1" applyBorder="1" applyAlignment="1">
      <alignment horizontal="right" vertical="center" wrapText="1"/>
    </xf>
    <xf numFmtId="168" fontId="26" fillId="0" borderId="0" xfId="1" applyNumberFormat="1" applyFont="1" applyFill="1" applyAlignment="1">
      <alignment horizontal="center" vertical="center" wrapText="1"/>
    </xf>
    <xf numFmtId="167" fontId="26" fillId="4" borderId="28" xfId="2" applyNumberFormat="1" applyFont="1" applyFill="1" applyBorder="1" applyAlignment="1">
      <alignment horizontal="right" vertical="center" wrapText="1"/>
    </xf>
    <xf numFmtId="0" fontId="27" fillId="0" borderId="0" xfId="0" applyFont="1" applyAlignment="1">
      <alignment vertical="center" wrapText="1"/>
    </xf>
    <xf numFmtId="0" fontId="23" fillId="9" borderId="39" xfId="0" applyFont="1" applyFill="1" applyBorder="1" applyAlignment="1">
      <alignment horizontal="center" vertical="center" wrapText="1"/>
    </xf>
    <xf numFmtId="167" fontId="23" fillId="9" borderId="3" xfId="2" applyNumberFormat="1" applyFont="1" applyFill="1" applyBorder="1" applyAlignment="1">
      <alignment horizontal="left" vertical="center" wrapText="1"/>
    </xf>
    <xf numFmtId="167" fontId="24" fillId="8" borderId="21" xfId="2" applyNumberFormat="1" applyFont="1" applyFill="1" applyBorder="1" applyAlignment="1">
      <alignment horizontal="right" vertical="center" wrapText="1"/>
    </xf>
    <xf numFmtId="167" fontId="24" fillId="8" borderId="28" xfId="2" applyNumberFormat="1" applyFont="1" applyFill="1" applyBorder="1" applyAlignment="1">
      <alignment horizontal="right" vertical="center" wrapText="1"/>
    </xf>
    <xf numFmtId="0" fontId="23" fillId="0" borderId="0" xfId="0" applyFont="1" applyAlignment="1">
      <alignment vertical="center" wrapText="1"/>
    </xf>
    <xf numFmtId="0" fontId="19" fillId="10" borderId="39" xfId="0" applyFont="1" applyFill="1" applyBorder="1" applyAlignment="1">
      <alignment horizontal="center" vertical="center" wrapText="1"/>
    </xf>
    <xf numFmtId="167" fontId="19" fillId="10" borderId="3" xfId="2" applyNumberFormat="1"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 xfId="0" applyFont="1" applyBorder="1" applyAlignment="1">
      <alignment horizontal="left" vertical="center" wrapText="1"/>
    </xf>
    <xf numFmtId="168" fontId="28" fillId="0" borderId="0" xfId="1" applyNumberFormat="1" applyFont="1" applyFill="1" applyAlignment="1">
      <alignment horizontal="center" vertical="center" wrapText="1"/>
    </xf>
    <xf numFmtId="167" fontId="29" fillId="11" borderId="35" xfId="2" applyNumberFormat="1" applyFont="1" applyFill="1" applyBorder="1" applyAlignment="1">
      <alignment vertical="center" wrapText="1"/>
    </xf>
    <xf numFmtId="167" fontId="29" fillId="11" borderId="36" xfId="2" applyNumberFormat="1" applyFont="1" applyFill="1" applyBorder="1" applyAlignment="1">
      <alignment vertical="center" wrapText="1"/>
    </xf>
    <xf numFmtId="167" fontId="29" fillId="11" borderId="34" xfId="2" applyNumberFormat="1" applyFont="1" applyFill="1" applyBorder="1" applyAlignment="1">
      <alignment vertical="center" wrapText="1"/>
    </xf>
    <xf numFmtId="0" fontId="19" fillId="0" borderId="35" xfId="0" applyFont="1" applyBorder="1" applyAlignment="1">
      <alignment horizontal="left" vertical="center" wrapText="1"/>
    </xf>
    <xf numFmtId="167" fontId="30" fillId="8" borderId="35" xfId="2" applyNumberFormat="1" applyFont="1" applyFill="1" applyBorder="1" applyAlignment="1">
      <alignment vertical="center" wrapText="1"/>
    </xf>
    <xf numFmtId="167" fontId="30" fillId="8" borderId="36" xfId="2" applyNumberFormat="1" applyFont="1" applyFill="1" applyBorder="1" applyAlignment="1">
      <alignment vertical="center" wrapText="1"/>
    </xf>
    <xf numFmtId="9" fontId="23"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7" fontId="23" fillId="0" borderId="0" xfId="0" applyNumberFormat="1" applyFont="1" applyAlignment="1">
      <alignment horizontal="center" vertical="center" wrapText="1"/>
    </xf>
    <xf numFmtId="10" fontId="23" fillId="0" borderId="0" xfId="1" applyNumberFormat="1" applyFont="1" applyFill="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horizontal="center" vertical="center" wrapText="1"/>
    </xf>
    <xf numFmtId="167" fontId="19" fillId="0" borderId="0" xfId="2" applyNumberFormat="1" applyFont="1" applyFill="1" applyAlignment="1">
      <alignment vertical="center" wrapText="1"/>
    </xf>
    <xf numFmtId="167" fontId="19" fillId="0" borderId="0" xfId="2" applyNumberFormat="1" applyFont="1" applyFill="1" applyAlignment="1">
      <alignment horizontal="right" vertical="center" wrapText="1"/>
    </xf>
    <xf numFmtId="167" fontId="20" fillId="0" borderId="44" xfId="2" applyNumberFormat="1" applyFont="1" applyBorder="1" applyAlignment="1">
      <alignment vertical="center"/>
    </xf>
    <xf numFmtId="167" fontId="31" fillId="0" borderId="44" xfId="2" applyNumberFormat="1" applyFont="1" applyBorder="1" applyAlignment="1">
      <alignment vertical="center"/>
    </xf>
    <xf numFmtId="167" fontId="18" fillId="7" borderId="34" xfId="2" applyNumberFormat="1" applyFont="1" applyFill="1" applyBorder="1" applyAlignment="1">
      <alignment horizontal="center" vertical="center" wrapText="1"/>
    </xf>
    <xf numFmtId="167" fontId="32" fillId="8" borderId="37" xfId="2" applyNumberFormat="1" applyFont="1" applyFill="1" applyBorder="1" applyAlignment="1">
      <alignment horizontal="left" vertical="center" wrapText="1"/>
    </xf>
    <xf numFmtId="167" fontId="33" fillId="4" borderId="28" xfId="2" applyNumberFormat="1" applyFont="1" applyFill="1" applyBorder="1" applyAlignment="1">
      <alignment horizontal="left" vertical="center" wrapText="1"/>
    </xf>
    <xf numFmtId="167" fontId="34" fillId="4" borderId="28" xfId="2" applyNumberFormat="1" applyFont="1" applyFill="1" applyBorder="1" applyAlignment="1">
      <alignment horizontal="left" vertical="center" wrapText="1"/>
    </xf>
    <xf numFmtId="167" fontId="18" fillId="0" borderId="0" xfId="2" applyNumberFormat="1" applyFont="1" applyFill="1" applyBorder="1" applyAlignment="1">
      <alignment horizontal="center" vertical="center" wrapText="1"/>
    </xf>
    <xf numFmtId="167" fontId="33" fillId="0" borderId="0" xfId="2" applyNumberFormat="1" applyFont="1" applyFill="1" applyBorder="1" applyAlignment="1">
      <alignment horizontal="left" vertical="center" wrapText="1"/>
    </xf>
    <xf numFmtId="167" fontId="34" fillId="0" borderId="0" xfId="2" applyNumberFormat="1" applyFont="1" applyFill="1" applyBorder="1" applyAlignment="1">
      <alignment horizontal="left" vertical="center" wrapText="1"/>
    </xf>
    <xf numFmtId="165" fontId="11" fillId="0" borderId="0" xfId="2" applyFont="1" applyFill="1" applyBorder="1" applyAlignment="1">
      <alignment horizontal="center" vertical="center" wrapText="1"/>
    </xf>
    <xf numFmtId="167" fontId="18" fillId="7" borderId="35" xfId="2" applyNumberFormat="1" applyFont="1" applyFill="1" applyBorder="1" applyAlignment="1">
      <alignment horizontal="center" vertical="center" wrapText="1"/>
    </xf>
    <xf numFmtId="167" fontId="33" fillId="4" borderId="4" xfId="2" applyNumberFormat="1" applyFont="1" applyFill="1" applyBorder="1" applyAlignment="1">
      <alignment horizontal="left" vertical="center" wrapText="1"/>
    </xf>
    <xf numFmtId="167" fontId="34" fillId="4" borderId="4" xfId="2" applyNumberFormat="1" applyFont="1" applyFill="1" applyBorder="1" applyAlignment="1">
      <alignment horizontal="left" vertical="center" wrapText="1"/>
    </xf>
    <xf numFmtId="167" fontId="32" fillId="8" borderId="31" xfId="2" applyNumberFormat="1" applyFont="1" applyFill="1" applyBorder="1" applyAlignment="1">
      <alignment horizontal="left" vertical="center" wrapText="1"/>
    </xf>
    <xf numFmtId="0" fontId="35" fillId="0" borderId="0" xfId="0" applyFont="1"/>
    <xf numFmtId="0" fontId="0" fillId="0" borderId="0" xfId="0" applyFill="1"/>
    <xf numFmtId="0" fontId="1" fillId="4" borderId="2" xfId="0" applyFont="1" applyFill="1" applyBorder="1" applyAlignment="1">
      <alignment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4" fontId="1" fillId="4" borderId="4" xfId="0" applyNumberFormat="1" applyFont="1" applyFill="1" applyBorder="1" applyAlignment="1">
      <alignment horizontal="right"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4" fontId="1" fillId="4" borderId="9" xfId="0" applyNumberFormat="1" applyFont="1" applyFill="1" applyBorder="1" applyAlignment="1">
      <alignment horizontal="right" vertical="center" wrapText="1"/>
    </xf>
    <xf numFmtId="4" fontId="1" fillId="4" borderId="21" xfId="0" applyNumberFormat="1" applyFont="1" applyFill="1" applyBorder="1" applyAlignment="1">
      <alignment horizontal="right" vertical="center" wrapText="1"/>
    </xf>
    <xf numFmtId="4" fontId="1"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4" fontId="1" fillId="0" borderId="0" xfId="0" quotePrefix="1" applyNumberFormat="1" applyFont="1" applyFill="1" applyBorder="1" applyAlignment="1">
      <alignment horizontal="center" vertical="center" wrapText="1"/>
    </xf>
    <xf numFmtId="9" fontId="1" fillId="2" borderId="0" xfId="1" applyFont="1" applyFill="1" applyBorder="1" applyAlignment="1">
      <alignment horizontal="center" vertical="center" wrapText="1"/>
    </xf>
    <xf numFmtId="167" fontId="20" fillId="0" borderId="0" xfId="2" applyNumberFormat="1" applyFont="1" applyAlignment="1">
      <alignment vertical="center"/>
    </xf>
    <xf numFmtId="167" fontId="36" fillId="8" borderId="37" xfId="2" applyNumberFormat="1" applyFont="1" applyFill="1" applyBorder="1" applyAlignment="1">
      <alignment horizontal="left" vertical="center" wrapText="1"/>
    </xf>
    <xf numFmtId="167" fontId="36" fillId="8" borderId="28" xfId="2" applyNumberFormat="1" applyFont="1" applyFill="1" applyBorder="1" applyAlignment="1">
      <alignment horizontal="left" vertical="center" wrapText="1"/>
    </xf>
    <xf numFmtId="167" fontId="23" fillId="0" borderId="1" xfId="2" applyNumberFormat="1" applyFont="1" applyFill="1" applyBorder="1" applyAlignment="1">
      <alignment horizontal="right" vertical="center" wrapText="1"/>
    </xf>
    <xf numFmtId="167" fontId="27" fillId="12" borderId="28" xfId="2" applyNumberFormat="1" applyFont="1" applyFill="1" applyBorder="1" applyAlignment="1">
      <alignment horizontal="left" vertical="center" wrapText="1"/>
    </xf>
    <xf numFmtId="167" fontId="29" fillId="12" borderId="42" xfId="2" applyNumberFormat="1" applyFont="1" applyFill="1" applyBorder="1" applyAlignment="1">
      <alignment vertical="center" wrapText="1"/>
    </xf>
    <xf numFmtId="167" fontId="19" fillId="12" borderId="34" xfId="2" applyNumberFormat="1" applyFont="1" applyFill="1" applyBorder="1" applyAlignment="1">
      <alignment vertical="center" wrapText="1"/>
    </xf>
    <xf numFmtId="0" fontId="0" fillId="0" borderId="0" xfId="0" applyAlignment="1">
      <alignment horizontal="center" vertical="center"/>
    </xf>
    <xf numFmtId="9" fontId="0" fillId="0" borderId="0" xfId="1" applyFont="1" applyAlignment="1">
      <alignment horizontal="center" vertical="center"/>
    </xf>
    <xf numFmtId="167" fontId="0" fillId="0" borderId="0" xfId="0" applyNumberFormat="1"/>
    <xf numFmtId="1"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wrapText="1"/>
    </xf>
    <xf numFmtId="165" fontId="8" fillId="0" borderId="3" xfId="2" applyFont="1" applyFill="1" applyBorder="1" applyAlignment="1">
      <alignment horizontal="center" vertical="center" wrapText="1"/>
    </xf>
    <xf numFmtId="165" fontId="8" fillId="0" borderId="39" xfId="2"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xf numFmtId="0" fontId="8" fillId="5" borderId="28" xfId="0" applyFont="1" applyFill="1" applyBorder="1" applyAlignment="1">
      <alignment vertical="center" wrapText="1"/>
    </xf>
    <xf numFmtId="1" fontId="8" fillId="5" borderId="4" xfId="0" applyNumberFormat="1" applyFont="1" applyFill="1" applyBorder="1" applyAlignment="1">
      <alignment horizontal="center" vertical="center" wrapText="1"/>
    </xf>
    <xf numFmtId="2" fontId="8" fillId="5" borderId="4" xfId="0" applyNumberFormat="1" applyFont="1" applyFill="1" applyBorder="1" applyAlignment="1">
      <alignment horizontal="center" vertical="center" wrapText="1"/>
    </xf>
    <xf numFmtId="165" fontId="8" fillId="5" borderId="4" xfId="2" applyFont="1" applyFill="1" applyBorder="1" applyAlignment="1">
      <alignment horizontal="center" vertical="center" wrapText="1"/>
    </xf>
    <xf numFmtId="0" fontId="8" fillId="0" borderId="41" xfId="0" applyFont="1" applyFill="1" applyBorder="1" applyAlignment="1">
      <alignment vertical="center" wrapText="1"/>
    </xf>
    <xf numFmtId="1" fontId="8" fillId="0" borderId="14"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165" fontId="8" fillId="0" borderId="14" xfId="2" applyFont="1" applyFill="1" applyBorder="1" applyAlignment="1">
      <alignment horizontal="center" vertical="center" wrapText="1"/>
    </xf>
    <xf numFmtId="165" fontId="8" fillId="0" borderId="24" xfId="2" applyFont="1" applyFill="1" applyBorder="1" applyAlignment="1">
      <alignment horizontal="center" vertical="center" wrapText="1"/>
    </xf>
    <xf numFmtId="167" fontId="29" fillId="11" borderId="45" xfId="2" applyNumberFormat="1" applyFont="1" applyFill="1" applyBorder="1" applyAlignment="1">
      <alignment vertical="center" wrapText="1"/>
    </xf>
    <xf numFmtId="0" fontId="19" fillId="5" borderId="28" xfId="2" applyNumberFormat="1" applyFont="1" applyFill="1" applyBorder="1" applyAlignment="1">
      <alignment vertical="center" wrapText="1"/>
    </xf>
    <xf numFmtId="167" fontId="19" fillId="5" borderId="4" xfId="2" applyNumberFormat="1" applyFont="1" applyFill="1" applyBorder="1" applyAlignment="1">
      <alignment horizontal="right" vertical="center" wrapText="1"/>
    </xf>
    <xf numFmtId="0" fontId="10" fillId="0" borderId="4" xfId="0" applyFont="1" applyFill="1" applyBorder="1" applyAlignment="1">
      <alignment horizontal="center" vertical="center"/>
    </xf>
    <xf numFmtId="0" fontId="0" fillId="0" borderId="0" xfId="0" applyBorder="1"/>
    <xf numFmtId="4" fontId="5" fillId="0" borderId="0" xfId="0"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167" fontId="19" fillId="5" borderId="28" xfId="2" applyNumberFormat="1" applyFont="1" applyFill="1" applyBorder="1" applyAlignment="1">
      <alignment horizontal="right" vertical="center" wrapText="1"/>
    </xf>
    <xf numFmtId="0" fontId="8" fillId="0" borderId="0" xfId="0" applyFont="1" applyAlignment="1">
      <alignment wrapText="1"/>
    </xf>
    <xf numFmtId="167" fontId="23" fillId="13" borderId="28" xfId="2" applyNumberFormat="1" applyFont="1" applyFill="1" applyBorder="1" applyAlignment="1">
      <alignment vertical="center" wrapText="1"/>
    </xf>
    <xf numFmtId="167" fontId="23" fillId="13" borderId="4" xfId="2" applyNumberFormat="1" applyFont="1" applyFill="1" applyBorder="1" applyAlignment="1">
      <alignment horizontal="center" vertical="center" wrapText="1"/>
    </xf>
    <xf numFmtId="167" fontId="23" fillId="13" borderId="4" xfId="2" applyNumberFormat="1" applyFont="1" applyFill="1" applyBorder="1" applyAlignment="1">
      <alignment horizontal="left" vertical="center" wrapText="1"/>
    </xf>
    <xf numFmtId="167" fontId="23" fillId="13" borderId="4" xfId="2" applyNumberFormat="1" applyFont="1" applyFill="1" applyBorder="1" applyAlignment="1">
      <alignment horizontal="right" vertical="center" wrapText="1"/>
    </xf>
    <xf numFmtId="167" fontId="23" fillId="13" borderId="21" xfId="2" applyNumberFormat="1" applyFont="1" applyFill="1" applyBorder="1" applyAlignment="1">
      <alignment horizontal="right" vertical="center" wrapText="1"/>
    </xf>
    <xf numFmtId="167" fontId="23" fillId="13" borderId="28" xfId="2" applyNumberFormat="1" applyFont="1" applyFill="1" applyBorder="1" applyAlignment="1">
      <alignment horizontal="right" vertical="center" wrapText="1"/>
    </xf>
    <xf numFmtId="167" fontId="19" fillId="5" borderId="4" xfId="2" applyNumberFormat="1" applyFont="1" applyFill="1" applyBorder="1" applyAlignment="1">
      <alignment horizontal="center" vertical="center" wrapText="1"/>
    </xf>
    <xf numFmtId="167" fontId="19" fillId="5" borderId="4" xfId="2" applyNumberFormat="1" applyFont="1" applyFill="1" applyBorder="1" applyAlignment="1">
      <alignment vertical="center" wrapText="1"/>
    </xf>
    <xf numFmtId="167" fontId="19" fillId="5" borderId="4" xfId="2" applyNumberFormat="1" applyFont="1" applyFill="1" applyBorder="1" applyAlignment="1">
      <alignment horizontal="left" vertical="center" wrapText="1"/>
    </xf>
    <xf numFmtId="0" fontId="23" fillId="4" borderId="38" xfId="0" applyFont="1" applyFill="1" applyBorder="1" applyAlignment="1">
      <alignment horizontal="left" vertical="center" wrapText="1"/>
    </xf>
    <xf numFmtId="170" fontId="5" fillId="0" borderId="0" xfId="4" applyNumberFormat="1" applyFont="1" applyFill="1" applyBorder="1" applyAlignment="1">
      <alignment horizontal="left" vertical="center"/>
    </xf>
    <xf numFmtId="170" fontId="0" fillId="0" borderId="0" xfId="4" applyNumberFormat="1" applyFont="1" applyFill="1" applyBorder="1" applyAlignment="1">
      <alignment horizontal="left" vertical="center"/>
    </xf>
    <xf numFmtId="170" fontId="0" fillId="0" borderId="0" xfId="0" applyNumberFormat="1" applyFill="1" applyBorder="1" applyAlignment="1">
      <alignment horizontal="left" vertical="center"/>
    </xf>
    <xf numFmtId="9" fontId="0" fillId="0" borderId="0" xfId="0" applyNumberFormat="1"/>
    <xf numFmtId="0" fontId="5" fillId="2" borderId="19" xfId="0" applyFont="1" applyFill="1" applyBorder="1" applyAlignment="1">
      <alignment vertical="center" wrapText="1"/>
    </xf>
    <xf numFmtId="167" fontId="23" fillId="0" borderId="0" xfId="2" applyNumberFormat="1" applyFont="1" applyFill="1" applyBorder="1" applyAlignment="1">
      <alignment horizontal="right" vertical="center" wrapText="1"/>
    </xf>
    <xf numFmtId="167" fontId="23" fillId="0" borderId="4" xfId="2" applyNumberFormat="1" applyFont="1" applyFill="1" applyBorder="1" applyAlignment="1">
      <alignment horizontal="right" vertical="center" wrapText="1"/>
    </xf>
    <xf numFmtId="165" fontId="8" fillId="0" borderId="4" xfId="0" applyNumberFormat="1" applyFont="1" applyFill="1" applyBorder="1" applyAlignment="1">
      <alignment vertical="center" wrapText="1"/>
    </xf>
    <xf numFmtId="165" fontId="8" fillId="5" borderId="21" xfId="2" applyFont="1" applyFill="1" applyBorder="1" applyAlignment="1">
      <alignment horizontal="center" vertical="center" wrapText="1"/>
    </xf>
    <xf numFmtId="0" fontId="27" fillId="0" borderId="0" xfId="0" applyFont="1" applyFill="1" applyAlignment="1">
      <alignment vertical="center" wrapText="1"/>
    </xf>
    <xf numFmtId="0" fontId="25" fillId="0" borderId="0" xfId="0" applyFont="1" applyFill="1" applyAlignment="1">
      <alignment vertical="center" wrapText="1"/>
    </xf>
    <xf numFmtId="165" fontId="8" fillId="0" borderId="0" xfId="0" applyNumberFormat="1" applyFont="1"/>
    <xf numFmtId="170" fontId="0" fillId="0" borderId="0" xfId="1" applyNumberFormat="1" applyFont="1" applyFill="1" applyBorder="1" applyAlignment="1">
      <alignment horizontal="left" vertical="center"/>
    </xf>
    <xf numFmtId="9" fontId="8" fillId="0" borderId="0" xfId="1" applyFont="1" applyFill="1" applyBorder="1" applyAlignment="1">
      <alignment horizontal="center" vertical="center" wrapText="1"/>
    </xf>
    <xf numFmtId="167" fontId="21" fillId="0" borderId="33" xfId="2" applyNumberFormat="1" applyFont="1" applyBorder="1" applyAlignment="1">
      <alignment horizontal="center" vertical="center" wrapText="1"/>
    </xf>
  </cellXfs>
  <cellStyles count="5">
    <cellStyle name="Milliers" xfId="2" builtinId="3"/>
    <cellStyle name="Monétaire" xfId="4" builtinId="4"/>
    <cellStyle name="Normal" xfId="0" builtinId="0"/>
    <cellStyle name="Normal 3 2"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O110"/>
  <sheetViews>
    <sheetView topLeftCell="A4" zoomScale="90" zoomScaleNormal="90" workbookViewId="0">
      <selection activeCell="B33" sqref="B33"/>
    </sheetView>
  </sheetViews>
  <sheetFormatPr baseColWidth="10" defaultColWidth="11.42578125" defaultRowHeight="11.25" x14ac:dyDescent="0.2"/>
  <cols>
    <col min="1" max="1" width="4.7109375" style="43" customWidth="1"/>
    <col min="2" max="2" width="38.28515625" style="43" customWidth="1"/>
    <col min="3" max="3" width="5.5703125" style="43" customWidth="1"/>
    <col min="4" max="4" width="9" style="43" customWidth="1"/>
    <col min="5" max="5" width="5" style="43" customWidth="1"/>
    <col min="6" max="6" width="9.42578125" style="43" customWidth="1"/>
    <col min="7" max="7" width="12.85546875" style="43" customWidth="1"/>
    <col min="8" max="8" width="14" style="43" customWidth="1"/>
    <col min="9" max="9" width="10.140625" style="43" customWidth="1"/>
    <col min="10" max="10" width="14" style="43" customWidth="1"/>
    <col min="11" max="11" width="12.85546875" style="50" customWidth="1"/>
    <col min="12" max="12" width="13.85546875" style="43" customWidth="1"/>
    <col min="13" max="13" width="13.7109375" style="43" customWidth="1"/>
    <col min="14" max="14" width="14" style="43" customWidth="1"/>
    <col min="15" max="15" width="24.42578125" style="43" customWidth="1"/>
    <col min="16" max="16384" width="11.42578125" style="43"/>
  </cols>
  <sheetData>
    <row r="1" spans="2:14" ht="42.75" customHeight="1" thickBot="1" x14ac:dyDescent="0.25">
      <c r="B1" s="203" t="s">
        <v>0</v>
      </c>
      <c r="C1" s="202"/>
      <c r="D1" s="202"/>
    </row>
    <row r="2" spans="2:14" ht="38.25" customHeight="1" thickBot="1" x14ac:dyDescent="0.25">
      <c r="B2" s="100" t="s">
        <v>1</v>
      </c>
      <c r="C2" s="204" t="s">
        <v>2</v>
      </c>
      <c r="D2" s="204" t="s">
        <v>3</v>
      </c>
      <c r="E2" s="204" t="s">
        <v>4</v>
      </c>
      <c r="F2" s="204" t="s">
        <v>5</v>
      </c>
      <c r="G2" s="204" t="s">
        <v>6</v>
      </c>
      <c r="H2" s="204" t="s">
        <v>7</v>
      </c>
      <c r="I2" s="204" t="s">
        <v>8</v>
      </c>
      <c r="J2" s="204" t="s">
        <v>9</v>
      </c>
      <c r="K2" s="208"/>
      <c r="L2" s="212" t="s">
        <v>10</v>
      </c>
      <c r="M2" s="204" t="s">
        <v>11</v>
      </c>
      <c r="N2" s="204" t="s">
        <v>12</v>
      </c>
    </row>
    <row r="3" spans="2:14" s="216" customFormat="1" ht="15.75" x14ac:dyDescent="0.2">
      <c r="B3" s="205" t="s">
        <v>13</v>
      </c>
      <c r="C3" s="205"/>
      <c r="D3" s="205"/>
      <c r="E3" s="205"/>
      <c r="F3" s="205"/>
      <c r="G3" s="205"/>
      <c r="H3" s="205"/>
      <c r="I3" s="205"/>
      <c r="J3" s="205">
        <f>SUM(J4:J11)</f>
        <v>61970.525507007333</v>
      </c>
      <c r="K3" s="288">
        <f>J3/$J$106</f>
        <v>3.5073713408792617E-2</v>
      </c>
      <c r="L3" s="215">
        <f>SUM(L4:L11)</f>
        <v>21838.321719259042</v>
      </c>
      <c r="M3" s="205">
        <f t="shared" ref="M3:N3" si="0">SUM(M4:M11)</f>
        <v>40132.20378774828</v>
      </c>
      <c r="N3" s="205">
        <f t="shared" si="0"/>
        <v>0</v>
      </c>
    </row>
    <row r="4" spans="2:14" x14ac:dyDescent="0.2">
      <c r="B4" s="89" t="s">
        <v>14</v>
      </c>
      <c r="C4" s="45">
        <v>1</v>
      </c>
      <c r="D4" s="46" t="s">
        <v>15</v>
      </c>
      <c r="E4" s="45">
        <v>1</v>
      </c>
      <c r="F4" s="46" t="s">
        <v>16</v>
      </c>
      <c r="G4" s="47">
        <v>10000000</v>
      </c>
      <c r="H4" s="47">
        <f>C4*E4*G4</f>
        <v>10000000</v>
      </c>
      <c r="I4" s="47">
        <f>G4/655.957</f>
        <v>15244.901723741039</v>
      </c>
      <c r="J4" s="47">
        <f t="shared" ref="J4:J11" si="1">C4*E4*I4</f>
        <v>15244.901723741039</v>
      </c>
      <c r="K4" s="77"/>
      <c r="L4" s="47"/>
      <c r="M4" s="47">
        <f>J4</f>
        <v>15244.901723741039</v>
      </c>
      <c r="N4" s="90"/>
    </row>
    <row r="5" spans="2:14" x14ac:dyDescent="0.2">
      <c r="B5" s="89" t="s">
        <v>17</v>
      </c>
      <c r="C5" s="45">
        <v>1</v>
      </c>
      <c r="D5" s="46" t="s">
        <v>15</v>
      </c>
      <c r="E5" s="45">
        <v>1</v>
      </c>
      <c r="F5" s="46" t="s">
        <v>16</v>
      </c>
      <c r="G5" s="47">
        <v>2000000</v>
      </c>
      <c r="H5" s="47">
        <f>C5*E5*G5</f>
        <v>2000000</v>
      </c>
      <c r="I5" s="47">
        <f>G5/655.957</f>
        <v>3048.9803447482077</v>
      </c>
      <c r="J5" s="47">
        <f t="shared" si="1"/>
        <v>3048.9803447482077</v>
      </c>
      <c r="K5" s="77"/>
      <c r="L5" s="47"/>
      <c r="M5" s="47">
        <f>J5</f>
        <v>3048.9803447482077</v>
      </c>
      <c r="N5" s="90"/>
    </row>
    <row r="6" spans="2:14" x14ac:dyDescent="0.2">
      <c r="B6" s="89" t="s">
        <v>18</v>
      </c>
      <c r="C6" s="45">
        <v>1</v>
      </c>
      <c r="D6" s="46" t="s">
        <v>15</v>
      </c>
      <c r="E6" s="45">
        <v>1</v>
      </c>
      <c r="F6" s="46" t="s">
        <v>16</v>
      </c>
      <c r="G6" s="47">
        <v>20000000</v>
      </c>
      <c r="H6" s="47">
        <f>C6*E6*G6</f>
        <v>20000000</v>
      </c>
      <c r="I6" s="47">
        <f t="shared" ref="I6:I11" si="2">G6/655.957</f>
        <v>30489.803447482078</v>
      </c>
      <c r="J6" s="47">
        <f t="shared" si="1"/>
        <v>30489.803447482078</v>
      </c>
      <c r="K6" s="77"/>
      <c r="L6" s="47">
        <f t="shared" ref="L6:L11" si="3">J6/2</f>
        <v>15244.901723741039</v>
      </c>
      <c r="M6" s="47">
        <f t="shared" ref="M6:M11" si="4">J6/2</f>
        <v>15244.901723741039</v>
      </c>
      <c r="N6" s="90"/>
    </row>
    <row r="7" spans="2:14" x14ac:dyDescent="0.2">
      <c r="B7" s="89" t="s">
        <v>19</v>
      </c>
      <c r="C7" s="45">
        <v>1</v>
      </c>
      <c r="D7" s="46" t="s">
        <v>15</v>
      </c>
      <c r="E7" s="45">
        <v>1</v>
      </c>
      <c r="F7" s="46" t="s">
        <v>16</v>
      </c>
      <c r="G7" s="47">
        <v>1500000</v>
      </c>
      <c r="H7" s="47">
        <f t="shared" ref="H7:H11" si="5">C7*E7*G7</f>
        <v>1500000</v>
      </c>
      <c r="I7" s="47">
        <f t="shared" si="2"/>
        <v>2286.7352585611557</v>
      </c>
      <c r="J7" s="47">
        <f t="shared" si="1"/>
        <v>2286.7352585611557</v>
      </c>
      <c r="K7" s="77"/>
      <c r="L7" s="47">
        <f t="shared" si="3"/>
        <v>1143.3676292805778</v>
      </c>
      <c r="M7" s="47">
        <f t="shared" si="4"/>
        <v>1143.3676292805778</v>
      </c>
      <c r="N7" s="90"/>
    </row>
    <row r="8" spans="2:14" ht="33.75" x14ac:dyDescent="0.2">
      <c r="B8" s="89" t="s">
        <v>20</v>
      </c>
      <c r="C8" s="45">
        <v>1</v>
      </c>
      <c r="D8" s="46" t="s">
        <v>15</v>
      </c>
      <c r="E8" s="45">
        <v>1</v>
      </c>
      <c r="F8" s="46" t="s">
        <v>16</v>
      </c>
      <c r="G8" s="47">
        <v>1000000</v>
      </c>
      <c r="H8" s="47">
        <f t="shared" si="5"/>
        <v>1000000</v>
      </c>
      <c r="I8" s="47">
        <f t="shared" si="2"/>
        <v>1524.4901723741038</v>
      </c>
      <c r="J8" s="47">
        <f t="shared" si="1"/>
        <v>1524.4901723741038</v>
      </c>
      <c r="K8" s="77"/>
      <c r="L8" s="47">
        <f t="shared" si="3"/>
        <v>762.24508618705192</v>
      </c>
      <c r="M8" s="47">
        <f t="shared" si="4"/>
        <v>762.24508618705192</v>
      </c>
      <c r="N8" s="90"/>
    </row>
    <row r="9" spans="2:14" x14ac:dyDescent="0.2">
      <c r="B9" s="89" t="s">
        <v>21</v>
      </c>
      <c r="C9" s="45">
        <v>8</v>
      </c>
      <c r="D9" s="46" t="s">
        <v>22</v>
      </c>
      <c r="E9" s="45">
        <v>1</v>
      </c>
      <c r="F9" s="46" t="s">
        <v>16</v>
      </c>
      <c r="G9" s="47">
        <v>500000</v>
      </c>
      <c r="H9" s="47">
        <f t="shared" si="5"/>
        <v>4000000</v>
      </c>
      <c r="I9" s="47">
        <f t="shared" si="2"/>
        <v>762.24508618705192</v>
      </c>
      <c r="J9" s="47">
        <f t="shared" si="1"/>
        <v>6097.9606894964154</v>
      </c>
      <c r="K9" s="77"/>
      <c r="L9" s="47">
        <f t="shared" si="3"/>
        <v>3048.9803447482077</v>
      </c>
      <c r="M9" s="47">
        <f t="shared" si="4"/>
        <v>3048.9803447482077</v>
      </c>
      <c r="N9" s="90"/>
    </row>
    <row r="10" spans="2:14" x14ac:dyDescent="0.2">
      <c r="B10" s="89" t="s">
        <v>23</v>
      </c>
      <c r="C10" s="45">
        <v>1</v>
      </c>
      <c r="D10" s="46" t="s">
        <v>24</v>
      </c>
      <c r="E10" s="45">
        <v>1</v>
      </c>
      <c r="F10" s="46" t="s">
        <v>16</v>
      </c>
      <c r="G10" s="47">
        <v>650000</v>
      </c>
      <c r="H10" s="47">
        <f t="shared" si="5"/>
        <v>650000</v>
      </c>
      <c r="I10" s="47">
        <f t="shared" si="2"/>
        <v>990.91861204316751</v>
      </c>
      <c r="J10" s="47">
        <f t="shared" si="1"/>
        <v>990.91861204316751</v>
      </c>
      <c r="K10" s="77"/>
      <c r="L10" s="47">
        <f t="shared" si="3"/>
        <v>495.45930602158376</v>
      </c>
      <c r="M10" s="47">
        <f t="shared" si="4"/>
        <v>495.45930602158376</v>
      </c>
      <c r="N10" s="90"/>
    </row>
    <row r="11" spans="2:14" ht="12" thickBot="1" x14ac:dyDescent="0.25">
      <c r="B11" s="91" t="s">
        <v>25</v>
      </c>
      <c r="C11" s="92">
        <v>1</v>
      </c>
      <c r="D11" s="93" t="s">
        <v>15</v>
      </c>
      <c r="E11" s="92">
        <v>1</v>
      </c>
      <c r="F11" s="93" t="s">
        <v>16</v>
      </c>
      <c r="G11" s="94">
        <v>1500000</v>
      </c>
      <c r="H11" s="94">
        <f t="shared" si="5"/>
        <v>1500000</v>
      </c>
      <c r="I11" s="94">
        <f t="shared" si="2"/>
        <v>2286.7352585611557</v>
      </c>
      <c r="J11" s="94">
        <f t="shared" si="1"/>
        <v>2286.7352585611557</v>
      </c>
      <c r="K11" s="77"/>
      <c r="L11" s="47">
        <f t="shared" si="3"/>
        <v>1143.3676292805778</v>
      </c>
      <c r="M11" s="47">
        <f t="shared" si="4"/>
        <v>1143.3676292805778</v>
      </c>
      <c r="N11" s="95"/>
    </row>
    <row r="12" spans="2:14" s="216" customFormat="1" ht="15.75" x14ac:dyDescent="0.2">
      <c r="B12" s="205" t="s">
        <v>26</v>
      </c>
      <c r="C12" s="205"/>
      <c r="D12" s="205"/>
      <c r="E12" s="205"/>
      <c r="F12" s="205"/>
      <c r="G12" s="205"/>
      <c r="H12" s="205"/>
      <c r="I12" s="205"/>
      <c r="J12" s="205">
        <f>J13+J28+J32</f>
        <v>418248.43259542924</v>
      </c>
      <c r="K12" s="288">
        <f>J12/$J$106</f>
        <v>0.23671778702070298</v>
      </c>
      <c r="L12" s="215">
        <f>L13+L28+L32</f>
        <v>209124.21629771462</v>
      </c>
      <c r="M12" s="205">
        <f>M13+M28+M32</f>
        <v>209124.21629771462</v>
      </c>
      <c r="N12" s="205">
        <f>N13+N32</f>
        <v>0</v>
      </c>
    </row>
    <row r="13" spans="2:14" ht="15" x14ac:dyDescent="0.2">
      <c r="B13" s="207" t="s">
        <v>27</v>
      </c>
      <c r="C13" s="206"/>
      <c r="D13" s="206"/>
      <c r="E13" s="206"/>
      <c r="F13" s="206"/>
      <c r="G13" s="206"/>
      <c r="H13" s="206"/>
      <c r="I13" s="206"/>
      <c r="J13" s="206">
        <f>SUM(J14:J27)</f>
        <v>177510.94507719256</v>
      </c>
      <c r="K13" s="209"/>
      <c r="L13" s="213">
        <f>SUM(L14:L27)</f>
        <v>88755.472538596281</v>
      </c>
      <c r="M13" s="206">
        <f>SUM(M14:M27)</f>
        <v>88755.472538596281</v>
      </c>
      <c r="N13" s="206">
        <f>SUM(N14:N27)</f>
        <v>0</v>
      </c>
    </row>
    <row r="14" spans="2:14" x14ac:dyDescent="0.2">
      <c r="B14" s="89" t="s">
        <v>28</v>
      </c>
      <c r="C14" s="45">
        <v>1</v>
      </c>
      <c r="D14" s="46" t="s">
        <v>29</v>
      </c>
      <c r="E14" s="45">
        <v>3</v>
      </c>
      <c r="F14" s="46" t="s">
        <v>30</v>
      </c>
      <c r="G14" s="47">
        <v>975000</v>
      </c>
      <c r="H14" s="47">
        <f>C14*E14*G14</f>
        <v>2925000</v>
      </c>
      <c r="I14" s="47">
        <f>G14/655.957</f>
        <v>1486.3779180647512</v>
      </c>
      <c r="J14" s="47">
        <f t="shared" ref="J14:J27" si="6">C14*E14*I14</f>
        <v>4459.1337541942539</v>
      </c>
      <c r="K14" s="77"/>
      <c r="L14" s="47">
        <f>J14/2</f>
        <v>2229.566877097127</v>
      </c>
      <c r="M14" s="47">
        <f>J14/2</f>
        <v>2229.566877097127</v>
      </c>
      <c r="N14" s="90"/>
    </row>
    <row r="15" spans="2:14" x14ac:dyDescent="0.2">
      <c r="B15" s="89" t="s">
        <v>31</v>
      </c>
      <c r="C15" s="45">
        <v>1</v>
      </c>
      <c r="D15" s="46" t="s">
        <v>29</v>
      </c>
      <c r="E15" s="45">
        <v>9</v>
      </c>
      <c r="F15" s="46" t="s">
        <v>30</v>
      </c>
      <c r="G15" s="47">
        <v>762184</v>
      </c>
      <c r="H15" s="47">
        <f>C15*E15*G15</f>
        <v>6859656</v>
      </c>
      <c r="I15" s="47">
        <f>G15/655.957</f>
        <v>1161.942017540784</v>
      </c>
      <c r="J15" s="47">
        <f t="shared" si="6"/>
        <v>10457.478157867055</v>
      </c>
      <c r="K15" s="77"/>
      <c r="L15" s="47">
        <f t="shared" ref="L15:L27" si="7">J15/2</f>
        <v>5228.7390789335277</v>
      </c>
      <c r="M15" s="47">
        <f t="shared" ref="M15:M27" si="8">J15/2</f>
        <v>5228.7390789335277</v>
      </c>
      <c r="N15" s="90"/>
    </row>
    <row r="16" spans="2:14" x14ac:dyDescent="0.2">
      <c r="B16" s="89" t="s">
        <v>32</v>
      </c>
      <c r="C16" s="45">
        <v>1</v>
      </c>
      <c r="D16" s="46" t="s">
        <v>29</v>
      </c>
      <c r="E16" s="45">
        <v>20</v>
      </c>
      <c r="F16" s="46" t="s">
        <v>30</v>
      </c>
      <c r="G16" s="47">
        <v>777809</v>
      </c>
      <c r="H16" s="47">
        <f t="shared" ref="H16:H26" si="9">C16*E16*G16</f>
        <v>15556180</v>
      </c>
      <c r="I16" s="47">
        <f t="shared" ref="I16:I25" si="10">G16/655.957</f>
        <v>1185.7621764841292</v>
      </c>
      <c r="J16" s="47">
        <f t="shared" si="6"/>
        <v>23715.243529682586</v>
      </c>
      <c r="K16" s="77"/>
      <c r="L16" s="47">
        <f t="shared" si="7"/>
        <v>11857.621764841293</v>
      </c>
      <c r="M16" s="47">
        <f t="shared" si="8"/>
        <v>11857.621764841293</v>
      </c>
      <c r="N16" s="90"/>
    </row>
    <row r="17" spans="2:15" ht="22.5" x14ac:dyDescent="0.2">
      <c r="B17" s="89" t="s">
        <v>33</v>
      </c>
      <c r="C17" s="45">
        <v>1</v>
      </c>
      <c r="D17" s="46" t="s">
        <v>29</v>
      </c>
      <c r="E17" s="45">
        <v>12</v>
      </c>
      <c r="F17" s="46" t="s">
        <v>30</v>
      </c>
      <c r="G17" s="47">
        <v>777809</v>
      </c>
      <c r="H17" s="47">
        <f t="shared" si="9"/>
        <v>9333708</v>
      </c>
      <c r="I17" s="47">
        <f t="shared" si="10"/>
        <v>1185.7621764841292</v>
      </c>
      <c r="J17" s="47">
        <f t="shared" si="6"/>
        <v>14229.146117809551</v>
      </c>
      <c r="K17" s="77"/>
      <c r="L17" s="47">
        <f t="shared" si="7"/>
        <v>7114.5730589047753</v>
      </c>
      <c r="M17" s="47">
        <f t="shared" si="8"/>
        <v>7114.5730589047753</v>
      </c>
      <c r="N17" s="90"/>
    </row>
    <row r="18" spans="2:15" x14ac:dyDescent="0.2">
      <c r="B18" s="89" t="s">
        <v>34</v>
      </c>
      <c r="C18" s="45">
        <v>1</v>
      </c>
      <c r="D18" s="46" t="s">
        <v>29</v>
      </c>
      <c r="E18" s="45">
        <v>12</v>
      </c>
      <c r="F18" s="46" t="s">
        <v>30</v>
      </c>
      <c r="G18" s="47">
        <v>436320</v>
      </c>
      <c r="H18" s="47">
        <f t="shared" si="9"/>
        <v>5235840</v>
      </c>
      <c r="I18" s="47">
        <f t="shared" si="10"/>
        <v>665.16555201026893</v>
      </c>
      <c r="J18" s="47">
        <f t="shared" si="6"/>
        <v>7981.9866241232266</v>
      </c>
      <c r="K18" s="77"/>
      <c r="L18" s="47">
        <f t="shared" si="7"/>
        <v>3990.9933120616133</v>
      </c>
      <c r="M18" s="47">
        <f t="shared" si="8"/>
        <v>3990.9933120616133</v>
      </c>
      <c r="N18" s="90"/>
    </row>
    <row r="19" spans="2:15" x14ac:dyDescent="0.2">
      <c r="B19" s="89" t="s">
        <v>35</v>
      </c>
      <c r="C19" s="45">
        <v>1</v>
      </c>
      <c r="D19" s="46" t="s">
        <v>29</v>
      </c>
      <c r="E19" s="45">
        <v>12</v>
      </c>
      <c r="F19" s="46" t="s">
        <v>30</v>
      </c>
      <c r="G19" s="47">
        <v>315469</v>
      </c>
      <c r="H19" s="47">
        <f t="shared" si="9"/>
        <v>3785628</v>
      </c>
      <c r="I19" s="47">
        <f t="shared" si="10"/>
        <v>480.92939018868617</v>
      </c>
      <c r="J19" s="47">
        <f t="shared" si="6"/>
        <v>5771.1526822642336</v>
      </c>
      <c r="K19" s="77"/>
      <c r="L19" s="47">
        <f t="shared" si="7"/>
        <v>2885.5763411321168</v>
      </c>
      <c r="M19" s="47">
        <f t="shared" si="8"/>
        <v>2885.5763411321168</v>
      </c>
      <c r="N19" s="90"/>
    </row>
    <row r="20" spans="2:15" x14ac:dyDescent="0.2">
      <c r="B20" s="89" t="s">
        <v>36</v>
      </c>
      <c r="C20" s="45">
        <v>1</v>
      </c>
      <c r="D20" s="46" t="s">
        <v>29</v>
      </c>
      <c r="E20" s="45">
        <v>20</v>
      </c>
      <c r="F20" s="46" t="s">
        <v>30</v>
      </c>
      <c r="G20" s="47">
        <v>249660</v>
      </c>
      <c r="H20" s="47">
        <f t="shared" si="9"/>
        <v>4993200</v>
      </c>
      <c r="I20" s="47">
        <f t="shared" si="10"/>
        <v>380.60421643491878</v>
      </c>
      <c r="J20" s="47">
        <f t="shared" si="6"/>
        <v>7612.0843286983754</v>
      </c>
      <c r="K20" s="77"/>
      <c r="L20" s="47">
        <f t="shared" si="7"/>
        <v>3806.0421643491877</v>
      </c>
      <c r="M20" s="47">
        <f t="shared" si="8"/>
        <v>3806.0421643491877</v>
      </c>
      <c r="N20" s="90"/>
    </row>
    <row r="21" spans="2:15" x14ac:dyDescent="0.2">
      <c r="B21" s="89" t="s">
        <v>37</v>
      </c>
      <c r="C21" s="45">
        <v>1</v>
      </c>
      <c r="D21" s="46" t="s">
        <v>29</v>
      </c>
      <c r="E21" s="45">
        <v>9</v>
      </c>
      <c r="F21" s="46" t="s">
        <v>30</v>
      </c>
      <c r="G21" s="47">
        <v>616075</v>
      </c>
      <c r="H21" s="47">
        <f t="shared" si="9"/>
        <v>5544675</v>
      </c>
      <c r="I21" s="47">
        <f t="shared" si="10"/>
        <v>939.20028294537599</v>
      </c>
      <c r="J21" s="47">
        <f t="shared" si="6"/>
        <v>8452.8025465083847</v>
      </c>
      <c r="K21" s="77"/>
      <c r="L21" s="47">
        <f t="shared" si="7"/>
        <v>4226.4012732541923</v>
      </c>
      <c r="M21" s="47">
        <f t="shared" si="8"/>
        <v>4226.4012732541923</v>
      </c>
      <c r="N21" s="90"/>
    </row>
    <row r="22" spans="2:15" x14ac:dyDescent="0.2">
      <c r="B22" s="89" t="s">
        <v>38</v>
      </c>
      <c r="C22" s="45">
        <v>1</v>
      </c>
      <c r="D22" s="46" t="s">
        <v>29</v>
      </c>
      <c r="E22" s="45">
        <v>20</v>
      </c>
      <c r="F22" s="46" t="s">
        <v>30</v>
      </c>
      <c r="G22" s="47">
        <v>645176</v>
      </c>
      <c r="H22" s="47">
        <f t="shared" si="9"/>
        <v>12903520</v>
      </c>
      <c r="I22" s="47">
        <f t="shared" si="10"/>
        <v>983.56447145163474</v>
      </c>
      <c r="J22" s="47">
        <f t="shared" si="6"/>
        <v>19671.289429032695</v>
      </c>
      <c r="K22" s="77"/>
      <c r="L22" s="47">
        <f t="shared" si="7"/>
        <v>9835.6447145163474</v>
      </c>
      <c r="M22" s="47">
        <f t="shared" si="8"/>
        <v>9835.6447145163474</v>
      </c>
      <c r="N22" s="90"/>
    </row>
    <row r="23" spans="2:15" x14ac:dyDescent="0.2">
      <c r="B23" s="89" t="s">
        <v>39</v>
      </c>
      <c r="C23" s="45">
        <v>1</v>
      </c>
      <c r="D23" s="46" t="s">
        <v>29</v>
      </c>
      <c r="E23" s="45">
        <v>20</v>
      </c>
      <c r="F23" s="46" t="s">
        <v>30</v>
      </c>
      <c r="G23" s="47">
        <v>645176</v>
      </c>
      <c r="H23" s="47">
        <f t="shared" si="9"/>
        <v>12903520</v>
      </c>
      <c r="I23" s="47">
        <f t="shared" si="10"/>
        <v>983.56447145163474</v>
      </c>
      <c r="J23" s="47">
        <f t="shared" si="6"/>
        <v>19671.289429032695</v>
      </c>
      <c r="K23" s="77"/>
      <c r="L23" s="47">
        <f t="shared" si="7"/>
        <v>9835.6447145163474</v>
      </c>
      <c r="M23" s="47">
        <f t="shared" si="8"/>
        <v>9835.6447145163474</v>
      </c>
      <c r="N23" s="90"/>
    </row>
    <row r="24" spans="2:15" x14ac:dyDescent="0.2">
      <c r="B24" s="89" t="s">
        <v>40</v>
      </c>
      <c r="C24" s="45">
        <v>3</v>
      </c>
      <c r="D24" s="46" t="s">
        <v>29</v>
      </c>
      <c r="E24" s="45">
        <v>20</v>
      </c>
      <c r="F24" s="46" t="s">
        <v>30</v>
      </c>
      <c r="G24" s="47">
        <v>300632</v>
      </c>
      <c r="H24" s="47">
        <f t="shared" si="9"/>
        <v>18037920</v>
      </c>
      <c r="I24" s="47">
        <f t="shared" si="10"/>
        <v>458.31052950117157</v>
      </c>
      <c r="J24" s="47">
        <f t="shared" si="6"/>
        <v>27498.631770070293</v>
      </c>
      <c r="K24" s="77"/>
      <c r="L24" s="47">
        <f t="shared" si="7"/>
        <v>13749.315885035146</v>
      </c>
      <c r="M24" s="47">
        <f t="shared" si="8"/>
        <v>13749.315885035146</v>
      </c>
      <c r="N24" s="90"/>
    </row>
    <row r="25" spans="2:15" x14ac:dyDescent="0.2">
      <c r="B25" s="89" t="s">
        <v>41</v>
      </c>
      <c r="C25" s="45">
        <v>1</v>
      </c>
      <c r="D25" s="46" t="s">
        <v>29</v>
      </c>
      <c r="E25" s="45">
        <v>18</v>
      </c>
      <c r="F25" s="46" t="s">
        <v>30</v>
      </c>
      <c r="G25" s="47">
        <v>670350</v>
      </c>
      <c r="H25" s="47">
        <f t="shared" si="9"/>
        <v>12066300</v>
      </c>
      <c r="I25" s="47">
        <f t="shared" si="10"/>
        <v>1021.9419870509805</v>
      </c>
      <c r="J25" s="47">
        <f t="shared" si="6"/>
        <v>18394.95576691765</v>
      </c>
      <c r="K25" s="77"/>
      <c r="L25" s="47">
        <f t="shared" si="7"/>
        <v>9197.4778834588251</v>
      </c>
      <c r="M25" s="47">
        <f t="shared" si="8"/>
        <v>9197.4778834588251</v>
      </c>
      <c r="N25" s="90"/>
    </row>
    <row r="26" spans="2:15" x14ac:dyDescent="0.2">
      <c r="B26" s="89" t="s">
        <v>42</v>
      </c>
      <c r="C26" s="45">
        <v>1</v>
      </c>
      <c r="D26" s="46" t="s">
        <v>15</v>
      </c>
      <c r="E26" s="45">
        <v>1</v>
      </c>
      <c r="F26" s="46" t="s">
        <v>16</v>
      </c>
      <c r="G26" s="47">
        <v>3500000</v>
      </c>
      <c r="H26" s="47">
        <f t="shared" si="9"/>
        <v>3500000</v>
      </c>
      <c r="I26" s="47">
        <f>G26/655.957</f>
        <v>5335.7156033093634</v>
      </c>
      <c r="J26" s="47">
        <f t="shared" si="6"/>
        <v>5335.7156033093634</v>
      </c>
      <c r="K26" s="77"/>
      <c r="L26" s="47">
        <f t="shared" si="7"/>
        <v>2667.8578016546817</v>
      </c>
      <c r="M26" s="47">
        <f t="shared" si="8"/>
        <v>2667.8578016546817</v>
      </c>
      <c r="N26" s="90"/>
    </row>
    <row r="27" spans="2:15" x14ac:dyDescent="0.2">
      <c r="B27" s="89" t="s">
        <v>43</v>
      </c>
      <c r="C27" s="45">
        <v>14</v>
      </c>
      <c r="D27" s="46" t="s">
        <v>29</v>
      </c>
      <c r="E27" s="45">
        <v>1</v>
      </c>
      <c r="F27" s="46" t="s">
        <v>16</v>
      </c>
      <c r="G27" s="47">
        <v>199600</v>
      </c>
      <c r="H27" s="47">
        <f t="shared" ref="H27" si="11">C27*E27*G27</f>
        <v>2794400</v>
      </c>
      <c r="I27" s="47">
        <f t="shared" ref="I27" si="12">G27/655.957</f>
        <v>304.28823840587114</v>
      </c>
      <c r="J27" s="47">
        <f t="shared" si="6"/>
        <v>4260.0353376821959</v>
      </c>
      <c r="K27" s="77"/>
      <c r="L27" s="47">
        <f t="shared" si="7"/>
        <v>2130.0176688410979</v>
      </c>
      <c r="M27" s="47">
        <f t="shared" si="8"/>
        <v>2130.0176688410979</v>
      </c>
      <c r="N27" s="90"/>
    </row>
    <row r="28" spans="2:15" ht="15" x14ac:dyDescent="0.2">
      <c r="B28" s="207" t="s">
        <v>44</v>
      </c>
      <c r="C28" s="206"/>
      <c r="D28" s="206"/>
      <c r="E28" s="206"/>
      <c r="F28" s="206"/>
      <c r="G28" s="206"/>
      <c r="H28" s="206"/>
      <c r="I28" s="206"/>
      <c r="J28" s="206">
        <f>SUM(J29:J31)</f>
        <v>71437.48751823671</v>
      </c>
      <c r="K28" s="209"/>
      <c r="L28" s="213">
        <f>SUM(L29:L31)</f>
        <v>35718.743759118355</v>
      </c>
      <c r="M28" s="206">
        <f>SUM(M29:M31)</f>
        <v>35718.743759118355</v>
      </c>
      <c r="N28" s="206">
        <f>SUM(N30:N42)</f>
        <v>0</v>
      </c>
    </row>
    <row r="29" spans="2:15" x14ac:dyDescent="0.2">
      <c r="B29" s="89" t="s">
        <v>45</v>
      </c>
      <c r="C29" s="45">
        <v>1</v>
      </c>
      <c r="D29" s="46" t="s">
        <v>29</v>
      </c>
      <c r="E29" s="45">
        <v>20</v>
      </c>
      <c r="F29" s="46" t="s">
        <v>30</v>
      </c>
      <c r="G29" s="47">
        <v>715162</v>
      </c>
      <c r="H29" s="47">
        <f>C29*E29*G29</f>
        <v>14303240</v>
      </c>
      <c r="I29" s="47">
        <f>G29/655.957</f>
        <v>1090.2574406554088</v>
      </c>
      <c r="J29" s="47">
        <f>C29*E29*I29</f>
        <v>21805.148813108175</v>
      </c>
      <c r="K29" s="77"/>
      <c r="L29" s="47">
        <f>J29/2</f>
        <v>10902.574406554088</v>
      </c>
      <c r="M29" s="47">
        <f>J29/2</f>
        <v>10902.574406554088</v>
      </c>
      <c r="N29" s="90"/>
      <c r="O29" s="246"/>
    </row>
    <row r="30" spans="2:15" x14ac:dyDescent="0.2">
      <c r="B30" s="89" t="s">
        <v>46</v>
      </c>
      <c r="C30" s="45">
        <v>1</v>
      </c>
      <c r="D30" s="46" t="s">
        <v>29</v>
      </c>
      <c r="E30" s="45">
        <v>20</v>
      </c>
      <c r="F30" s="46" t="s">
        <v>30</v>
      </c>
      <c r="G30" s="47">
        <v>377834</v>
      </c>
      <c r="H30" s="47">
        <f>C30*E30*G30</f>
        <v>7556680</v>
      </c>
      <c r="I30" s="47">
        <f>G30/655.957</f>
        <v>576.00421978879717</v>
      </c>
      <c r="J30" s="47">
        <f>C30*E30*I30</f>
        <v>11520.084395775943</v>
      </c>
      <c r="K30" s="77"/>
      <c r="L30" s="47">
        <f>J30/2</f>
        <v>5760.0421978879713</v>
      </c>
      <c r="M30" s="47">
        <f>J30/2</f>
        <v>5760.0421978879713</v>
      </c>
      <c r="N30" s="90"/>
    </row>
    <row r="31" spans="2:15" ht="33.75" x14ac:dyDescent="0.2">
      <c r="B31" s="89" t="s">
        <v>47</v>
      </c>
      <c r="C31" s="45">
        <v>1</v>
      </c>
      <c r="D31" s="46" t="s">
        <v>29</v>
      </c>
      <c r="E31" s="45">
        <v>1</v>
      </c>
      <c r="F31" s="46" t="s">
        <v>30</v>
      </c>
      <c r="G31" s="47">
        <v>25000000</v>
      </c>
      <c r="H31" s="47">
        <f>C31*E31*G31</f>
        <v>25000000</v>
      </c>
      <c r="I31" s="47">
        <f>G31/655.957</f>
        <v>38112.254309352596</v>
      </c>
      <c r="J31" s="47">
        <f>C31*E31*I31</f>
        <v>38112.254309352596</v>
      </c>
      <c r="K31" s="77"/>
      <c r="L31" s="47">
        <f>J31/2</f>
        <v>19056.127154676298</v>
      </c>
      <c r="M31" s="47">
        <f>J31/2</f>
        <v>19056.127154676298</v>
      </c>
      <c r="N31" s="90"/>
    </row>
    <row r="32" spans="2:15" ht="24" x14ac:dyDescent="0.2">
      <c r="B32" s="207" t="s">
        <v>48</v>
      </c>
      <c r="C32" s="206"/>
      <c r="D32" s="206"/>
      <c r="E32" s="206"/>
      <c r="F32" s="206"/>
      <c r="G32" s="206"/>
      <c r="H32" s="206"/>
      <c r="I32" s="206"/>
      <c r="J32" s="206">
        <f>SUM(J33:J36)</f>
        <v>169300</v>
      </c>
      <c r="K32" s="209"/>
      <c r="L32" s="213">
        <f>SUM(L33:L36)</f>
        <v>84650</v>
      </c>
      <c r="M32" s="206">
        <f>SUM(M33:M36)</f>
        <v>84650</v>
      </c>
      <c r="N32" s="206">
        <f t="shared" ref="N32" si="13">SUM(N33:N36)</f>
        <v>0</v>
      </c>
      <c r="O32" s="246"/>
    </row>
    <row r="33" spans="2:14" x14ac:dyDescent="0.2">
      <c r="B33" s="89" t="s">
        <v>49</v>
      </c>
      <c r="C33" s="45">
        <v>1</v>
      </c>
      <c r="D33" s="46" t="s">
        <v>29</v>
      </c>
      <c r="E33" s="45">
        <v>7</v>
      </c>
      <c r="F33" s="46" t="s">
        <v>30</v>
      </c>
      <c r="G33" s="47">
        <v>3279785</v>
      </c>
      <c r="H33" s="47">
        <f>C33*E33*G33</f>
        <v>22958495</v>
      </c>
      <c r="I33" s="47">
        <v>5500</v>
      </c>
      <c r="J33" s="47">
        <f>C33*E33*I33</f>
        <v>38500</v>
      </c>
      <c r="K33" s="77"/>
      <c r="L33" s="47">
        <f>J33/2</f>
        <v>19250</v>
      </c>
      <c r="M33" s="47">
        <f>J33/2</f>
        <v>19250</v>
      </c>
      <c r="N33" s="90"/>
    </row>
    <row r="34" spans="2:14" x14ac:dyDescent="0.2">
      <c r="B34" s="89" t="s">
        <v>50</v>
      </c>
      <c r="C34" s="45">
        <v>1</v>
      </c>
      <c r="D34" s="46" t="s">
        <v>29</v>
      </c>
      <c r="E34" s="45">
        <v>9</v>
      </c>
      <c r="F34" s="46" t="s">
        <v>30</v>
      </c>
      <c r="G34" s="47">
        <v>3935742</v>
      </c>
      <c r="H34" s="47">
        <f t="shared" ref="H34:H35" si="14">C34*E34*G34</f>
        <v>35421678</v>
      </c>
      <c r="I34" s="47">
        <v>6500</v>
      </c>
      <c r="J34" s="47">
        <f>C34*E34*I34</f>
        <v>58500</v>
      </c>
      <c r="K34" s="77"/>
      <c r="L34" s="47">
        <f t="shared" ref="L34:L36" si="15">J34/2</f>
        <v>29250</v>
      </c>
      <c r="M34" s="47">
        <f t="shared" ref="M34:M36" si="16">J34/2</f>
        <v>29250</v>
      </c>
      <c r="N34" s="90"/>
    </row>
    <row r="35" spans="2:14" x14ac:dyDescent="0.2">
      <c r="B35" s="89" t="s">
        <v>51</v>
      </c>
      <c r="C35" s="45">
        <v>1</v>
      </c>
      <c r="D35" s="46" t="s">
        <v>29</v>
      </c>
      <c r="E35" s="45">
        <v>9</v>
      </c>
      <c r="F35" s="46" t="s">
        <v>30</v>
      </c>
      <c r="G35" s="47">
        <v>3935742</v>
      </c>
      <c r="H35" s="47">
        <f t="shared" si="14"/>
        <v>35421678</v>
      </c>
      <c r="I35" s="47">
        <v>6500</v>
      </c>
      <c r="J35" s="47">
        <f>C35*E35*I35</f>
        <v>58500</v>
      </c>
      <c r="K35" s="77"/>
      <c r="L35" s="47">
        <f t="shared" si="15"/>
        <v>29250</v>
      </c>
      <c r="M35" s="47">
        <f t="shared" si="16"/>
        <v>29250</v>
      </c>
      <c r="N35" s="90"/>
    </row>
    <row r="36" spans="2:14" ht="12" thickBot="1" x14ac:dyDescent="0.25">
      <c r="B36" s="91" t="s">
        <v>52</v>
      </c>
      <c r="C36" s="92">
        <v>1</v>
      </c>
      <c r="D36" s="93" t="s">
        <v>29</v>
      </c>
      <c r="E36" s="92">
        <v>2</v>
      </c>
      <c r="F36" s="93" t="s">
        <v>30</v>
      </c>
      <c r="G36" s="94">
        <v>4526103</v>
      </c>
      <c r="H36" s="94">
        <f>C36*E36*G36</f>
        <v>9052206</v>
      </c>
      <c r="I36" s="94">
        <v>6900</v>
      </c>
      <c r="J36" s="94">
        <f>C36*E36*I36</f>
        <v>13800</v>
      </c>
      <c r="K36" s="77"/>
      <c r="L36" s="47">
        <f t="shared" si="15"/>
        <v>6900</v>
      </c>
      <c r="M36" s="47">
        <f t="shared" si="16"/>
        <v>6900</v>
      </c>
      <c r="N36" s="95"/>
    </row>
    <row r="37" spans="2:14" s="216" customFormat="1" ht="15.75" x14ac:dyDescent="0.2">
      <c r="B37" s="205" t="s">
        <v>53</v>
      </c>
      <c r="C37" s="205"/>
      <c r="D37" s="205"/>
      <c r="E37" s="205"/>
      <c r="F37" s="205"/>
      <c r="G37" s="205"/>
      <c r="H37" s="205"/>
      <c r="I37" s="205"/>
      <c r="J37" s="205">
        <f>SUM(J38+J46+J49+J53+J57+J59)</f>
        <v>147827.51308393688</v>
      </c>
      <c r="K37" s="288">
        <f>J37/$J$106</f>
        <v>8.3666546078494428E-2</v>
      </c>
      <c r="L37" s="215">
        <f t="shared" ref="L37:M37" si="17">SUM(L38+L46+L49+L53+L57+L59)</f>
        <v>73913.75654196844</v>
      </c>
      <c r="M37" s="205">
        <f t="shared" si="17"/>
        <v>73913.75654196844</v>
      </c>
      <c r="N37" s="205">
        <f>SUM(N38+N46+N49+N53+N57+N59)</f>
        <v>0</v>
      </c>
    </row>
    <row r="38" spans="2:14" ht="15" x14ac:dyDescent="0.2">
      <c r="B38" s="207" t="s">
        <v>54</v>
      </c>
      <c r="C38" s="206"/>
      <c r="D38" s="206"/>
      <c r="E38" s="206"/>
      <c r="F38" s="206"/>
      <c r="G38" s="206"/>
      <c r="H38" s="206"/>
      <c r="I38" s="206"/>
      <c r="J38" s="206">
        <f>SUM(J39:J45)</f>
        <v>64958.526244860572</v>
      </c>
      <c r="K38" s="209"/>
      <c r="L38" s="213">
        <f t="shared" ref="L38:N38" si="18">SUM(L39:L45)</f>
        <v>32479.263122430286</v>
      </c>
      <c r="M38" s="206">
        <f t="shared" si="18"/>
        <v>32479.263122430286</v>
      </c>
      <c r="N38" s="206">
        <f t="shared" si="18"/>
        <v>0</v>
      </c>
    </row>
    <row r="39" spans="2:14" x14ac:dyDescent="0.2">
      <c r="B39" s="89" t="s">
        <v>55</v>
      </c>
      <c r="C39" s="45">
        <v>1</v>
      </c>
      <c r="D39" s="46" t="s">
        <v>56</v>
      </c>
      <c r="E39" s="45">
        <v>20</v>
      </c>
      <c r="F39" s="46" t="s">
        <v>30</v>
      </c>
      <c r="G39" s="47">
        <v>250000</v>
      </c>
      <c r="H39" s="47">
        <f t="shared" ref="H39:H45" si="19">C39*E39*G39</f>
        <v>5000000</v>
      </c>
      <c r="I39" s="47">
        <f t="shared" ref="I39:I45" si="20">G39/655.957</f>
        <v>381.12254309352596</v>
      </c>
      <c r="J39" s="47">
        <f t="shared" ref="J39:J45" si="21">C39*E39*I39</f>
        <v>7622.4508618705195</v>
      </c>
      <c r="K39" s="77"/>
      <c r="L39" s="47">
        <f>J39/2</f>
        <v>3811.2254309352597</v>
      </c>
      <c r="M39" s="47">
        <f>J39/2</f>
        <v>3811.2254309352597</v>
      </c>
      <c r="N39" s="90"/>
    </row>
    <row r="40" spans="2:14" x14ac:dyDescent="0.2">
      <c r="B40" s="89" t="s">
        <v>57</v>
      </c>
      <c r="C40" s="45">
        <v>1</v>
      </c>
      <c r="D40" s="46" t="s">
        <v>56</v>
      </c>
      <c r="E40" s="45">
        <v>20</v>
      </c>
      <c r="F40" s="46" t="s">
        <v>30</v>
      </c>
      <c r="G40" s="47">
        <v>100000</v>
      </c>
      <c r="H40" s="47">
        <f t="shared" si="19"/>
        <v>2000000</v>
      </c>
      <c r="I40" s="47">
        <f t="shared" si="20"/>
        <v>152.44901723741037</v>
      </c>
      <c r="J40" s="47">
        <f t="shared" si="21"/>
        <v>3048.9803447482072</v>
      </c>
      <c r="K40" s="77"/>
      <c r="L40" s="47">
        <f t="shared" ref="L40:L45" si="22">J40/2</f>
        <v>1524.4901723741036</v>
      </c>
      <c r="M40" s="47">
        <f t="shared" ref="M40:M45" si="23">J40/2</f>
        <v>1524.4901723741036</v>
      </c>
      <c r="N40" s="90"/>
    </row>
    <row r="41" spans="2:14" x14ac:dyDescent="0.2">
      <c r="B41" s="89" t="s">
        <v>58</v>
      </c>
      <c r="C41" s="45">
        <v>1</v>
      </c>
      <c r="D41" s="46" t="s">
        <v>56</v>
      </c>
      <c r="E41" s="45">
        <v>2</v>
      </c>
      <c r="F41" s="46" t="s">
        <v>59</v>
      </c>
      <c r="G41" s="47">
        <v>300000</v>
      </c>
      <c r="H41" s="47">
        <f t="shared" si="19"/>
        <v>600000</v>
      </c>
      <c r="I41" s="47">
        <f t="shared" si="20"/>
        <v>457.34705171223112</v>
      </c>
      <c r="J41" s="47">
        <f t="shared" si="21"/>
        <v>914.69410342446224</v>
      </c>
      <c r="K41" s="77"/>
      <c r="L41" s="47">
        <f t="shared" si="22"/>
        <v>457.34705171223112</v>
      </c>
      <c r="M41" s="47">
        <f t="shared" si="23"/>
        <v>457.34705171223112</v>
      </c>
      <c r="N41" s="90"/>
    </row>
    <row r="42" spans="2:14" x14ac:dyDescent="0.2">
      <c r="B42" s="89" t="s">
        <v>60</v>
      </c>
      <c r="C42" s="45">
        <v>1</v>
      </c>
      <c r="D42" s="46" t="s">
        <v>15</v>
      </c>
      <c r="E42" s="45">
        <v>22</v>
      </c>
      <c r="F42" s="46" t="s">
        <v>30</v>
      </c>
      <c r="G42" s="47">
        <v>330000</v>
      </c>
      <c r="H42" s="47">
        <f t="shared" si="19"/>
        <v>7260000</v>
      </c>
      <c r="I42" s="47">
        <f t="shared" si="20"/>
        <v>503.08175688345426</v>
      </c>
      <c r="J42" s="47">
        <f t="shared" si="21"/>
        <v>11067.798651435995</v>
      </c>
      <c r="K42" s="77"/>
      <c r="L42" s="47">
        <f t="shared" si="22"/>
        <v>5533.8993257179973</v>
      </c>
      <c r="M42" s="47">
        <f t="shared" si="23"/>
        <v>5533.8993257179973</v>
      </c>
      <c r="N42" s="90"/>
    </row>
    <row r="43" spans="2:14" x14ac:dyDescent="0.2">
      <c r="B43" s="89" t="s">
        <v>61</v>
      </c>
      <c r="C43" s="45">
        <v>15</v>
      </c>
      <c r="D43" s="46" t="s">
        <v>62</v>
      </c>
      <c r="E43" s="45">
        <v>22</v>
      </c>
      <c r="F43" s="46" t="s">
        <v>30</v>
      </c>
      <c r="G43" s="47">
        <v>35000</v>
      </c>
      <c r="H43" s="47">
        <f t="shared" si="19"/>
        <v>11550000</v>
      </c>
      <c r="I43" s="47">
        <f t="shared" si="20"/>
        <v>53.357156033093631</v>
      </c>
      <c r="J43" s="47">
        <f t="shared" si="21"/>
        <v>17607.861490920899</v>
      </c>
      <c r="K43" s="77"/>
      <c r="L43" s="47">
        <f t="shared" si="22"/>
        <v>8803.9307454604495</v>
      </c>
      <c r="M43" s="47">
        <f t="shared" si="23"/>
        <v>8803.9307454604495</v>
      </c>
      <c r="N43" s="90"/>
    </row>
    <row r="44" spans="2:14" x14ac:dyDescent="0.2">
      <c r="B44" s="89" t="s">
        <v>63</v>
      </c>
      <c r="C44" s="45">
        <v>8</v>
      </c>
      <c r="D44" s="46" t="s">
        <v>62</v>
      </c>
      <c r="E44" s="45">
        <v>22</v>
      </c>
      <c r="F44" s="46" t="s">
        <v>30</v>
      </c>
      <c r="G44" s="47">
        <v>75000</v>
      </c>
      <c r="H44" s="47">
        <f t="shared" si="19"/>
        <v>13200000</v>
      </c>
      <c r="I44" s="47">
        <f t="shared" si="20"/>
        <v>114.33676292805778</v>
      </c>
      <c r="J44" s="47">
        <f t="shared" si="21"/>
        <v>20123.270275338171</v>
      </c>
      <c r="K44" s="77"/>
      <c r="L44" s="47">
        <f t="shared" si="22"/>
        <v>10061.635137669085</v>
      </c>
      <c r="M44" s="47">
        <f t="shared" si="23"/>
        <v>10061.635137669085</v>
      </c>
      <c r="N44" s="90"/>
    </row>
    <row r="45" spans="2:14" x14ac:dyDescent="0.2">
      <c r="B45" s="89" t="s">
        <v>64</v>
      </c>
      <c r="C45" s="45">
        <v>1</v>
      </c>
      <c r="D45" s="46" t="s">
        <v>56</v>
      </c>
      <c r="E45" s="45">
        <v>60</v>
      </c>
      <c r="F45" s="46" t="s">
        <v>65</v>
      </c>
      <c r="G45" s="47">
        <v>50000</v>
      </c>
      <c r="H45" s="47">
        <f t="shared" si="19"/>
        <v>3000000</v>
      </c>
      <c r="I45" s="47">
        <f t="shared" si="20"/>
        <v>76.224508618705187</v>
      </c>
      <c r="J45" s="47">
        <f t="shared" si="21"/>
        <v>4573.4705171223113</v>
      </c>
      <c r="K45" s="77"/>
      <c r="L45" s="47">
        <f t="shared" si="22"/>
        <v>2286.7352585611557</v>
      </c>
      <c r="M45" s="47">
        <f t="shared" si="23"/>
        <v>2286.7352585611557</v>
      </c>
      <c r="N45" s="90"/>
    </row>
    <row r="46" spans="2:14" ht="15" x14ac:dyDescent="0.2">
      <c r="B46" s="207" t="s">
        <v>66</v>
      </c>
      <c r="C46" s="206"/>
      <c r="D46" s="206"/>
      <c r="E46" s="206"/>
      <c r="F46" s="206"/>
      <c r="G46" s="206"/>
      <c r="H46" s="206"/>
      <c r="I46" s="206"/>
      <c r="J46" s="206">
        <f>SUM(J47:J48)</f>
        <v>13378.532434290662</v>
      </c>
      <c r="K46" s="209"/>
      <c r="L46" s="213">
        <f>SUM(L47:L48)</f>
        <v>6689.2662171453312</v>
      </c>
      <c r="M46" s="206">
        <f>SUM(M47:M48)</f>
        <v>6689.2662171453312</v>
      </c>
      <c r="N46" s="206">
        <f t="shared" ref="N46" si="24">SUM(N47)</f>
        <v>0</v>
      </c>
    </row>
    <row r="47" spans="2:14" x14ac:dyDescent="0.2">
      <c r="B47" s="89" t="s">
        <v>67</v>
      </c>
      <c r="C47" s="45">
        <v>1</v>
      </c>
      <c r="D47" s="46" t="s">
        <v>15</v>
      </c>
      <c r="E47" s="45">
        <v>22</v>
      </c>
      <c r="F47" s="46" t="s">
        <v>30</v>
      </c>
      <c r="G47" s="47">
        <v>220000</v>
      </c>
      <c r="H47" s="47">
        <f t="shared" ref="H47:H48" si="25">C47*E47*G47</f>
        <v>4840000</v>
      </c>
      <c r="I47" s="47">
        <f t="shared" ref="I47" si="26">G47/655.957</f>
        <v>335.38783792230282</v>
      </c>
      <c r="J47" s="47">
        <f t="shared" ref="J47" si="27">C47*E47*I47</f>
        <v>7378.5324342906624</v>
      </c>
      <c r="K47" s="77"/>
      <c r="L47" s="47">
        <f>J47/2</f>
        <v>3689.2662171453312</v>
      </c>
      <c r="M47" s="47">
        <f>J47/2</f>
        <v>3689.2662171453312</v>
      </c>
      <c r="N47" s="90"/>
    </row>
    <row r="48" spans="2:14" ht="22.5" x14ac:dyDescent="0.2">
      <c r="B48" s="18" t="s">
        <v>68</v>
      </c>
      <c r="C48" s="241">
        <v>1</v>
      </c>
      <c r="D48" s="242" t="s">
        <v>15</v>
      </c>
      <c r="E48" s="241">
        <v>3</v>
      </c>
      <c r="F48" s="242" t="s">
        <v>16</v>
      </c>
      <c r="G48" s="243">
        <f>2000*655.957</f>
        <v>1311914</v>
      </c>
      <c r="H48" s="47">
        <f t="shared" si="25"/>
        <v>3935742</v>
      </c>
      <c r="I48" s="47">
        <f t="shared" ref="I48" si="28">G48/655.957</f>
        <v>2000</v>
      </c>
      <c r="J48" s="47">
        <f t="shared" ref="J48" si="29">C48*E48*I48</f>
        <v>6000</v>
      </c>
      <c r="K48" s="77"/>
      <c r="L48" s="47">
        <f>J48/2</f>
        <v>3000</v>
      </c>
      <c r="M48" s="47">
        <f>J48/2</f>
        <v>3000</v>
      </c>
      <c r="N48" s="244"/>
    </row>
    <row r="49" spans="2:15" ht="15" x14ac:dyDescent="0.2">
      <c r="B49" s="207" t="s">
        <v>69</v>
      </c>
      <c r="C49" s="206"/>
      <c r="D49" s="206"/>
      <c r="E49" s="206"/>
      <c r="F49" s="206"/>
      <c r="G49" s="206"/>
      <c r="H49" s="206"/>
      <c r="I49" s="206"/>
      <c r="J49" s="206">
        <f>SUM(J50:J52)</f>
        <v>14177.758603079164</v>
      </c>
      <c r="K49" s="209"/>
      <c r="L49" s="213">
        <f t="shared" ref="L49:N49" si="30">SUM(L50:L52)</f>
        <v>7088.8793015395822</v>
      </c>
      <c r="M49" s="206">
        <f t="shared" si="30"/>
        <v>7088.8793015395822</v>
      </c>
      <c r="N49" s="206">
        <f t="shared" si="30"/>
        <v>0</v>
      </c>
    </row>
    <row r="50" spans="2:15" ht="22.5" x14ac:dyDescent="0.2">
      <c r="B50" s="89" t="s">
        <v>70</v>
      </c>
      <c r="C50" s="45">
        <v>1</v>
      </c>
      <c r="D50" s="46" t="s">
        <v>15</v>
      </c>
      <c r="E50" s="45">
        <v>1</v>
      </c>
      <c r="F50" s="46" t="s">
        <v>16</v>
      </c>
      <c r="G50" s="47">
        <v>1500000</v>
      </c>
      <c r="H50" s="47">
        <f t="shared" ref="H50:H52" si="31">C50*E50*G50</f>
        <v>1500000</v>
      </c>
      <c r="I50" s="47">
        <f>G50/655.957</f>
        <v>2286.7352585611557</v>
      </c>
      <c r="J50" s="47">
        <f>C50*E50*I50</f>
        <v>2286.7352585611557</v>
      </c>
      <c r="K50" s="77"/>
      <c r="L50" s="47">
        <f>J50/2</f>
        <v>1143.3676292805778</v>
      </c>
      <c r="M50" s="47">
        <f>J50/2</f>
        <v>1143.3676292805778</v>
      </c>
      <c r="N50" s="90"/>
    </row>
    <row r="51" spans="2:15" x14ac:dyDescent="0.2">
      <c r="B51" s="89" t="s">
        <v>71</v>
      </c>
      <c r="C51" s="45">
        <v>1</v>
      </c>
      <c r="D51" s="46" t="s">
        <v>15</v>
      </c>
      <c r="E51" s="45">
        <v>22</v>
      </c>
      <c r="F51" s="46" t="s">
        <v>30</v>
      </c>
      <c r="G51" s="47">
        <v>300000</v>
      </c>
      <c r="H51" s="47">
        <f t="shared" si="31"/>
        <v>6600000</v>
      </c>
      <c r="I51" s="47">
        <f t="shared" ref="I51:I52" si="32">G51/655.957</f>
        <v>457.34705171223112</v>
      </c>
      <c r="J51" s="47">
        <f t="shared" ref="J51:J52" si="33">C51*E51*I51</f>
        <v>10061.635137669085</v>
      </c>
      <c r="K51" s="77"/>
      <c r="L51" s="47">
        <f t="shared" ref="L51:L52" si="34">J51/2</f>
        <v>5030.8175688345427</v>
      </c>
      <c r="M51" s="47">
        <f t="shared" ref="M51:M52" si="35">J51/2</f>
        <v>5030.8175688345427</v>
      </c>
      <c r="N51" s="90"/>
    </row>
    <row r="52" spans="2:15" x14ac:dyDescent="0.2">
      <c r="B52" s="89" t="s">
        <v>72</v>
      </c>
      <c r="C52" s="45">
        <v>1</v>
      </c>
      <c r="D52" s="46" t="s">
        <v>15</v>
      </c>
      <c r="E52" s="45">
        <v>2</v>
      </c>
      <c r="F52" s="46" t="s">
        <v>16</v>
      </c>
      <c r="G52" s="47">
        <v>600000</v>
      </c>
      <c r="H52" s="47">
        <f t="shared" si="31"/>
        <v>1200000</v>
      </c>
      <c r="I52" s="47">
        <f t="shared" si="32"/>
        <v>914.69410342446224</v>
      </c>
      <c r="J52" s="47">
        <f t="shared" si="33"/>
        <v>1829.3882068489245</v>
      </c>
      <c r="K52" s="77"/>
      <c r="L52" s="47">
        <f t="shared" si="34"/>
        <v>914.69410342446224</v>
      </c>
      <c r="M52" s="47">
        <f t="shared" si="35"/>
        <v>914.69410342446224</v>
      </c>
      <c r="N52" s="90"/>
    </row>
    <row r="53" spans="2:15" ht="15" x14ac:dyDescent="0.2">
      <c r="B53" s="207" t="s">
        <v>73</v>
      </c>
      <c r="C53" s="206"/>
      <c r="D53" s="206"/>
      <c r="E53" s="206"/>
      <c r="F53" s="206"/>
      <c r="G53" s="206"/>
      <c r="H53" s="206"/>
      <c r="I53" s="206"/>
      <c r="J53" s="206">
        <f>SUM(J54:J56)</f>
        <v>21897.1822848144</v>
      </c>
      <c r="K53" s="209"/>
      <c r="L53" s="213">
        <f t="shared" ref="L53:N53" si="36">SUM(L54:L56)</f>
        <v>10948.5911424072</v>
      </c>
      <c r="M53" s="206">
        <f t="shared" si="36"/>
        <v>10948.5911424072</v>
      </c>
      <c r="N53" s="206">
        <f t="shared" si="36"/>
        <v>0</v>
      </c>
    </row>
    <row r="54" spans="2:15" ht="22.5" x14ac:dyDescent="0.2">
      <c r="B54" s="89" t="s">
        <v>74</v>
      </c>
      <c r="C54" s="45">
        <v>2</v>
      </c>
      <c r="D54" s="46" t="s">
        <v>75</v>
      </c>
      <c r="E54" s="45">
        <v>22</v>
      </c>
      <c r="F54" s="46" t="s">
        <v>30</v>
      </c>
      <c r="G54" s="47">
        <v>180000</v>
      </c>
      <c r="H54" s="47">
        <f t="shared" ref="H54:H56" si="37">C54*E54*G54</f>
        <v>7920000</v>
      </c>
      <c r="I54" s="47">
        <f t="shared" ref="I54:I56" si="38">G54/655.957</f>
        <v>274.40823102733867</v>
      </c>
      <c r="J54" s="47">
        <f t="shared" ref="J54:J56" si="39">C54*E54*I54</f>
        <v>12073.962165202902</v>
      </c>
      <c r="K54" s="77"/>
      <c r="L54" s="47">
        <f>J54/2</f>
        <v>6036.9810826014509</v>
      </c>
      <c r="M54" s="47">
        <f>J54/2</f>
        <v>6036.9810826014509</v>
      </c>
      <c r="N54" s="90"/>
    </row>
    <row r="55" spans="2:15" ht="22.5" x14ac:dyDescent="0.2">
      <c r="B55" s="89" t="s">
        <v>76</v>
      </c>
      <c r="C55" s="45">
        <v>1</v>
      </c>
      <c r="D55" s="46" t="s">
        <v>15</v>
      </c>
      <c r="E55" s="45">
        <v>12</v>
      </c>
      <c r="F55" s="46" t="s">
        <v>30</v>
      </c>
      <c r="G55" s="47">
        <v>45000</v>
      </c>
      <c r="H55" s="47">
        <f t="shared" si="37"/>
        <v>540000</v>
      </c>
      <c r="I55" s="47">
        <f t="shared" si="38"/>
        <v>68.602057756834668</v>
      </c>
      <c r="J55" s="47">
        <f t="shared" si="39"/>
        <v>823.22469308201607</v>
      </c>
      <c r="K55" s="77"/>
      <c r="L55" s="47">
        <f t="shared" ref="L55:L56" si="40">J55/2</f>
        <v>411.61234654100804</v>
      </c>
      <c r="M55" s="47">
        <f t="shared" ref="M55:M56" si="41">J55/2</f>
        <v>411.61234654100804</v>
      </c>
      <c r="N55" s="90"/>
    </row>
    <row r="56" spans="2:15" x14ac:dyDescent="0.2">
      <c r="B56" s="89" t="s">
        <v>77</v>
      </c>
      <c r="C56" s="45">
        <v>1</v>
      </c>
      <c r="D56" s="46" t="s">
        <v>15</v>
      </c>
      <c r="E56" s="45">
        <v>6</v>
      </c>
      <c r="F56" s="46" t="s">
        <v>30</v>
      </c>
      <c r="G56" s="47">
        <v>983935</v>
      </c>
      <c r="H56" s="47">
        <f t="shared" si="37"/>
        <v>5903610</v>
      </c>
      <c r="I56" s="47">
        <f t="shared" si="38"/>
        <v>1499.9992377549138</v>
      </c>
      <c r="J56" s="47">
        <f t="shared" si="39"/>
        <v>8999.9954265294837</v>
      </c>
      <c r="K56" s="77"/>
      <c r="L56" s="47">
        <f t="shared" si="40"/>
        <v>4499.9977132647418</v>
      </c>
      <c r="M56" s="47">
        <f t="shared" si="41"/>
        <v>4499.9977132647418</v>
      </c>
      <c r="N56" s="90"/>
    </row>
    <row r="57" spans="2:15" ht="15" x14ac:dyDescent="0.2">
      <c r="B57" s="207" t="s">
        <v>78</v>
      </c>
      <c r="C57" s="206"/>
      <c r="D57" s="206"/>
      <c r="E57" s="206"/>
      <c r="F57" s="206"/>
      <c r="G57" s="206"/>
      <c r="H57" s="206"/>
      <c r="I57" s="206"/>
      <c r="J57" s="206">
        <f>SUM(J58)</f>
        <v>13415.513516892113</v>
      </c>
      <c r="K57" s="209"/>
      <c r="L57" s="213">
        <f t="shared" ref="L57:N57" si="42">SUM(L58)</f>
        <v>6707.7567584460567</v>
      </c>
      <c r="M57" s="206">
        <f t="shared" si="42"/>
        <v>6707.7567584460567</v>
      </c>
      <c r="N57" s="206">
        <f t="shared" si="42"/>
        <v>0</v>
      </c>
    </row>
    <row r="58" spans="2:15" x14ac:dyDescent="0.2">
      <c r="B58" s="89" t="s">
        <v>79</v>
      </c>
      <c r="C58" s="45">
        <v>2</v>
      </c>
      <c r="D58" s="46" t="s">
        <v>75</v>
      </c>
      <c r="E58" s="45">
        <v>22</v>
      </c>
      <c r="F58" s="46" t="s">
        <v>30</v>
      </c>
      <c r="G58" s="47">
        <v>200000</v>
      </c>
      <c r="H58" s="47">
        <f>C58*E58*G58</f>
        <v>8800000</v>
      </c>
      <c r="I58" s="47">
        <f>G58/655.957</f>
        <v>304.89803447482075</v>
      </c>
      <c r="J58" s="47">
        <f t="shared" ref="J58" si="43">C58*E58*I58</f>
        <v>13415.513516892113</v>
      </c>
      <c r="K58" s="77"/>
      <c r="L58" s="47">
        <f>J58/2</f>
        <v>6707.7567584460567</v>
      </c>
      <c r="M58" s="47">
        <f>J58/2</f>
        <v>6707.7567584460567</v>
      </c>
      <c r="N58" s="90"/>
    </row>
    <row r="59" spans="2:15" ht="15" x14ac:dyDescent="0.2">
      <c r="B59" s="207" t="s">
        <v>80</v>
      </c>
      <c r="C59" s="206"/>
      <c r="D59" s="206"/>
      <c r="E59" s="206"/>
      <c r="F59" s="206"/>
      <c r="G59" s="206"/>
      <c r="H59" s="206"/>
      <c r="I59" s="206"/>
      <c r="J59" s="206">
        <f>SUM(J60:J61)</f>
        <v>20000</v>
      </c>
      <c r="K59" s="209"/>
      <c r="L59" s="213">
        <f t="shared" ref="L59:N59" si="44">SUM(L60:L61)</f>
        <v>10000</v>
      </c>
      <c r="M59" s="206">
        <f t="shared" si="44"/>
        <v>10000</v>
      </c>
      <c r="N59" s="206">
        <f t="shared" si="44"/>
        <v>0</v>
      </c>
    </row>
    <row r="60" spans="2:15" x14ac:dyDescent="0.2">
      <c r="B60" s="89" t="s">
        <v>81</v>
      </c>
      <c r="C60" s="44">
        <v>1</v>
      </c>
      <c r="D60" s="44" t="s">
        <v>15</v>
      </c>
      <c r="E60" s="44">
        <v>1</v>
      </c>
      <c r="F60" s="44" t="s">
        <v>16</v>
      </c>
      <c r="G60" s="47">
        <f>10000*655.957</f>
        <v>6559570</v>
      </c>
      <c r="H60" s="47">
        <f t="shared" ref="H60:H61" si="45">C60*E60*G60</f>
        <v>6559570</v>
      </c>
      <c r="I60" s="47">
        <f t="shared" ref="I60:I61" si="46">G60/655.957</f>
        <v>10000</v>
      </c>
      <c r="J60" s="47">
        <f>C60*E60*I60</f>
        <v>10000</v>
      </c>
      <c r="K60" s="77"/>
      <c r="L60" s="282">
        <f>J60/2</f>
        <v>5000</v>
      </c>
      <c r="M60" s="282">
        <f>J60/2</f>
        <v>5000</v>
      </c>
      <c r="N60" s="96"/>
    </row>
    <row r="61" spans="2:15" ht="12" thickBot="1" x14ac:dyDescent="0.25">
      <c r="B61" s="91" t="s">
        <v>82</v>
      </c>
      <c r="C61" s="97">
        <v>1</v>
      </c>
      <c r="D61" s="97" t="s">
        <v>15</v>
      </c>
      <c r="E61" s="97">
        <v>1</v>
      </c>
      <c r="F61" s="97" t="s">
        <v>16</v>
      </c>
      <c r="G61" s="47">
        <f>10000*655.957</f>
        <v>6559570</v>
      </c>
      <c r="H61" s="47">
        <f t="shared" si="45"/>
        <v>6559570</v>
      </c>
      <c r="I61" s="47">
        <f t="shared" si="46"/>
        <v>10000</v>
      </c>
      <c r="J61" s="47">
        <f>C61*E61*I61</f>
        <v>10000</v>
      </c>
      <c r="K61" s="77"/>
      <c r="L61" s="282">
        <f>J61/2</f>
        <v>5000</v>
      </c>
      <c r="M61" s="282">
        <f>J61/2</f>
        <v>5000</v>
      </c>
      <c r="N61" s="98"/>
    </row>
    <row r="62" spans="2:15" s="216" customFormat="1" ht="15.75" x14ac:dyDescent="0.2">
      <c r="B62" s="205" t="s">
        <v>83</v>
      </c>
      <c r="C62" s="205"/>
      <c r="D62" s="205"/>
      <c r="E62" s="205"/>
      <c r="F62" s="205"/>
      <c r="G62" s="205"/>
      <c r="H62" s="205"/>
      <c r="I62" s="205"/>
      <c r="J62" s="205">
        <f>J63+J80+J97</f>
        <v>1138818.7815664748</v>
      </c>
      <c r="K62" s="288">
        <f>J62/$J$106</f>
        <v>0.64454195349201004</v>
      </c>
      <c r="L62" s="215">
        <f>L63+L80+L97</f>
        <v>988889.51600486017</v>
      </c>
      <c r="M62" s="205">
        <f>M63+M80+M97</f>
        <v>149929.26556161456</v>
      </c>
      <c r="N62" s="205">
        <f>N63+N80+N97</f>
        <v>0</v>
      </c>
    </row>
    <row r="63" spans="2:15" ht="71.25" customHeight="1" x14ac:dyDescent="0.2">
      <c r="B63" s="207" t="s">
        <v>84</v>
      </c>
      <c r="C63" s="207"/>
      <c r="D63" s="207"/>
      <c r="E63" s="207"/>
      <c r="F63" s="207"/>
      <c r="G63" s="207"/>
      <c r="H63" s="207"/>
      <c r="I63" s="207"/>
      <c r="J63" s="207">
        <f>SUM(J64,J72)</f>
        <v>944097.81433843996</v>
      </c>
      <c r="K63" s="210"/>
      <c r="L63" s="214">
        <f>SUM(L64,L72)</f>
        <v>944097.81433843996</v>
      </c>
      <c r="M63" s="207">
        <f>SUM(M64,M72)</f>
        <v>0</v>
      </c>
      <c r="N63" s="207">
        <f>SUM(N64,N72)</f>
        <v>0</v>
      </c>
      <c r="O63" s="264"/>
    </row>
    <row r="64" spans="2:15" ht="33.75" x14ac:dyDescent="0.2">
      <c r="B64" s="247" t="s">
        <v>85</v>
      </c>
      <c r="C64" s="248"/>
      <c r="D64" s="249"/>
      <c r="E64" s="248"/>
      <c r="F64" s="249"/>
      <c r="G64" s="250"/>
      <c r="H64" s="250"/>
      <c r="I64" s="250"/>
      <c r="J64" s="250">
        <f>SUM(J65:J71)</f>
        <v>872801.113487622</v>
      </c>
      <c r="K64" s="77"/>
      <c r="L64" s="250">
        <f>SUM(L65:L71)</f>
        <v>872801.113487622</v>
      </c>
      <c r="M64" s="250">
        <f t="shared" ref="M64:N64" si="47">SUM(M65:M71)</f>
        <v>0</v>
      </c>
      <c r="N64" s="250">
        <f t="shared" si="47"/>
        <v>0</v>
      </c>
    </row>
    <row r="65" spans="2:15" x14ac:dyDescent="0.2">
      <c r="B65" s="89" t="s">
        <v>86</v>
      </c>
      <c r="C65" s="45">
        <v>10000</v>
      </c>
      <c r="D65" s="46" t="s">
        <v>87</v>
      </c>
      <c r="E65" s="45">
        <v>1</v>
      </c>
      <c r="F65" s="46" t="s">
        <v>16</v>
      </c>
      <c r="G65" s="47">
        <v>100</v>
      </c>
      <c r="H65" s="47">
        <f>C65*E65*G65</f>
        <v>1000000</v>
      </c>
      <c r="I65" s="47">
        <f>G65/655.957</f>
        <v>0.15244901723741039</v>
      </c>
      <c r="J65" s="47">
        <f t="shared" ref="J65:J71" si="48">C65*E65*I65</f>
        <v>1524.4901723741038</v>
      </c>
      <c r="K65" s="77"/>
      <c r="L65" s="47">
        <f>J65</f>
        <v>1524.4901723741038</v>
      </c>
      <c r="M65" s="47"/>
      <c r="N65" s="90"/>
    </row>
    <row r="66" spans="2:15" ht="22.5" x14ac:dyDescent="0.2">
      <c r="B66" s="89" t="s">
        <v>88</v>
      </c>
      <c r="C66" s="45">
        <v>1</v>
      </c>
      <c r="D66" s="46" t="s">
        <v>15</v>
      </c>
      <c r="E66" s="45">
        <v>2</v>
      </c>
      <c r="F66" s="46" t="s">
        <v>16</v>
      </c>
      <c r="G66" s="47">
        <v>1700000</v>
      </c>
      <c r="H66" s="47">
        <f>C66*E66*G66</f>
        <v>3400000</v>
      </c>
      <c r="I66" s="47">
        <f>G66/655.957</f>
        <v>2591.6332930359763</v>
      </c>
      <c r="J66" s="47">
        <f t="shared" si="48"/>
        <v>5183.2665860719526</v>
      </c>
      <c r="K66" s="77"/>
      <c r="L66" s="47">
        <f t="shared" ref="L66:L71" si="49">J66</f>
        <v>5183.2665860719526</v>
      </c>
      <c r="M66" s="47"/>
      <c r="N66" s="90"/>
      <c r="O66" s="286"/>
    </row>
    <row r="67" spans="2:15" ht="22.5" x14ac:dyDescent="0.2">
      <c r="B67" s="89" t="s">
        <v>89</v>
      </c>
      <c r="C67" s="45">
        <v>1</v>
      </c>
      <c r="D67" s="46" t="s">
        <v>15</v>
      </c>
      <c r="E67" s="45">
        <v>4</v>
      </c>
      <c r="F67" s="46" t="s">
        <v>90</v>
      </c>
      <c r="G67" s="47">
        <v>1400000</v>
      </c>
      <c r="H67" s="47">
        <f t="shared" ref="H67:H71" si="50">C67*E67*G67</f>
        <v>5600000</v>
      </c>
      <c r="I67" s="47">
        <f t="shared" ref="I67:I71" si="51">G67/655.957</f>
        <v>2134.2862413237453</v>
      </c>
      <c r="J67" s="47">
        <f t="shared" si="48"/>
        <v>8537.1449652949814</v>
      </c>
      <c r="K67" s="77"/>
      <c r="L67" s="47">
        <f t="shared" si="49"/>
        <v>8537.1449652949814</v>
      </c>
      <c r="M67" s="47"/>
      <c r="N67" s="90"/>
      <c r="O67" s="286"/>
    </row>
    <row r="68" spans="2:15" x14ac:dyDescent="0.2">
      <c r="B68" s="89" t="s">
        <v>91</v>
      </c>
      <c r="C68" s="45">
        <v>10</v>
      </c>
      <c r="D68" s="46" t="s">
        <v>92</v>
      </c>
      <c r="E68" s="45">
        <v>4</v>
      </c>
      <c r="F68" s="46" t="s">
        <v>90</v>
      </c>
      <c r="G68" s="47">
        <v>10000</v>
      </c>
      <c r="H68" s="47">
        <f t="shared" si="50"/>
        <v>400000</v>
      </c>
      <c r="I68" s="47">
        <f t="shared" si="51"/>
        <v>15.244901723741037</v>
      </c>
      <c r="J68" s="47">
        <f t="shared" si="48"/>
        <v>609.79606894964149</v>
      </c>
      <c r="K68" s="77"/>
      <c r="L68" s="47">
        <f t="shared" si="49"/>
        <v>609.79606894964149</v>
      </c>
      <c r="M68" s="47"/>
      <c r="N68" s="90"/>
    </row>
    <row r="69" spans="2:15" s="246" customFormat="1" ht="22.5" x14ac:dyDescent="0.2">
      <c r="B69" s="89" t="s">
        <v>93</v>
      </c>
      <c r="C69" s="45">
        <v>2500</v>
      </c>
      <c r="D69" s="46" t="s">
        <v>94</v>
      </c>
      <c r="E69" s="45">
        <v>4</v>
      </c>
      <c r="F69" s="46" t="s">
        <v>16</v>
      </c>
      <c r="G69" s="47">
        <v>55200</v>
      </c>
      <c r="H69" s="47">
        <f t="shared" si="50"/>
        <v>552000000</v>
      </c>
      <c r="I69" s="47">
        <f t="shared" si="51"/>
        <v>84.151857515050537</v>
      </c>
      <c r="J69" s="47">
        <f t="shared" si="48"/>
        <v>841518.57515050541</v>
      </c>
      <c r="K69" s="77"/>
      <c r="L69" s="47">
        <f t="shared" si="49"/>
        <v>841518.57515050541</v>
      </c>
      <c r="M69" s="47"/>
      <c r="N69" s="90"/>
    </row>
    <row r="70" spans="2:15" ht="22.5" x14ac:dyDescent="0.2">
      <c r="B70" s="89" t="s">
        <v>95</v>
      </c>
      <c r="C70" s="45">
        <f>7*8*4</f>
        <v>224</v>
      </c>
      <c r="D70" s="46" t="s">
        <v>96</v>
      </c>
      <c r="E70" s="45">
        <v>4</v>
      </c>
      <c r="F70" s="46" t="s">
        <v>90</v>
      </c>
      <c r="G70" s="47">
        <v>7500</v>
      </c>
      <c r="H70" s="47">
        <f t="shared" si="50"/>
        <v>6720000</v>
      </c>
      <c r="I70" s="47">
        <f t="shared" si="51"/>
        <v>11.433676292805778</v>
      </c>
      <c r="J70" s="47">
        <f t="shared" si="48"/>
        <v>10244.573958353976</v>
      </c>
      <c r="K70" s="77"/>
      <c r="L70" s="47">
        <f t="shared" si="49"/>
        <v>10244.573958353976</v>
      </c>
      <c r="M70" s="47"/>
      <c r="N70" s="90"/>
    </row>
    <row r="71" spans="2:15" ht="22.5" x14ac:dyDescent="0.2">
      <c r="B71" s="89" t="s">
        <v>97</v>
      </c>
      <c r="C71" s="45">
        <v>1</v>
      </c>
      <c r="D71" s="46" t="s">
        <v>15</v>
      </c>
      <c r="E71" s="45">
        <v>4</v>
      </c>
      <c r="F71" s="46" t="s">
        <v>98</v>
      </c>
      <c r="G71" s="47">
        <v>850000</v>
      </c>
      <c r="H71" s="47">
        <f t="shared" si="50"/>
        <v>3400000</v>
      </c>
      <c r="I71" s="47">
        <f t="shared" si="51"/>
        <v>1295.8166465179881</v>
      </c>
      <c r="J71" s="47">
        <f t="shared" si="48"/>
        <v>5183.2665860719526</v>
      </c>
      <c r="K71" s="77"/>
      <c r="L71" s="47">
        <f t="shared" si="49"/>
        <v>5183.2665860719526</v>
      </c>
      <c r="M71" s="47"/>
      <c r="N71" s="90"/>
    </row>
    <row r="72" spans="2:15" ht="33.75" x14ac:dyDescent="0.2">
      <c r="B72" s="247" t="s">
        <v>99</v>
      </c>
      <c r="C72" s="248"/>
      <c r="D72" s="249"/>
      <c r="E72" s="248"/>
      <c r="F72" s="249"/>
      <c r="G72" s="250"/>
      <c r="H72" s="250"/>
      <c r="I72" s="250"/>
      <c r="J72" s="250">
        <f>SUM(J73:J79)</f>
        <v>71296.700850817972</v>
      </c>
      <c r="K72" s="77"/>
      <c r="L72" s="250">
        <f>SUM(L73:L79)</f>
        <v>71296.700850817972</v>
      </c>
      <c r="M72" s="250">
        <f t="shared" ref="M72:N72" si="52">SUM(M73:M78)</f>
        <v>0</v>
      </c>
      <c r="N72" s="250">
        <f t="shared" si="52"/>
        <v>0</v>
      </c>
    </row>
    <row r="73" spans="2:15" ht="33.75" x14ac:dyDescent="0.2">
      <c r="B73" s="89" t="s">
        <v>100</v>
      </c>
      <c r="C73" s="45">
        <v>250</v>
      </c>
      <c r="D73" s="46" t="s">
        <v>94</v>
      </c>
      <c r="E73" s="45">
        <v>1</v>
      </c>
      <c r="F73" s="46" t="s">
        <v>15</v>
      </c>
      <c r="G73" s="47">
        <v>85000</v>
      </c>
      <c r="H73" s="47">
        <f t="shared" ref="H73:H78" si="53">C73*E73*G73</f>
        <v>21250000</v>
      </c>
      <c r="I73" s="47">
        <f t="shared" ref="I73:I78" si="54">G73/655.957</f>
        <v>129.58166465179883</v>
      </c>
      <c r="J73" s="47">
        <f>C73*E73*I73</f>
        <v>32395.416162949707</v>
      </c>
      <c r="K73" s="77"/>
      <c r="L73" s="47">
        <f>J73</f>
        <v>32395.416162949707</v>
      </c>
      <c r="M73" s="47"/>
      <c r="N73" s="90"/>
    </row>
    <row r="74" spans="2:15" ht="22.5" x14ac:dyDescent="0.2">
      <c r="B74" s="89" t="s">
        <v>101</v>
      </c>
      <c r="C74" s="45">
        <v>16</v>
      </c>
      <c r="D74" s="46" t="s">
        <v>102</v>
      </c>
      <c r="E74" s="45">
        <f>4*8</f>
        <v>32</v>
      </c>
      <c r="F74" s="46" t="s">
        <v>65</v>
      </c>
      <c r="G74" s="47">
        <v>10000</v>
      </c>
      <c r="H74" s="47">
        <f t="shared" si="53"/>
        <v>5120000</v>
      </c>
      <c r="I74" s="47">
        <f t="shared" si="54"/>
        <v>15.244901723741037</v>
      </c>
      <c r="J74" s="47">
        <f t="shared" ref="J74:J78" si="55">C74*E74*I74</f>
        <v>7805.3896825554111</v>
      </c>
      <c r="K74" s="77"/>
      <c r="L74" s="47">
        <f t="shared" ref="L74:L79" si="56">J74</f>
        <v>7805.3896825554111</v>
      </c>
      <c r="M74" s="47"/>
      <c r="N74" s="90"/>
    </row>
    <row r="75" spans="2:15" ht="22.5" x14ac:dyDescent="0.2">
      <c r="B75" s="89" t="s">
        <v>103</v>
      </c>
      <c r="C75" s="45">
        <v>250</v>
      </c>
      <c r="D75" s="46" t="s">
        <v>29</v>
      </c>
      <c r="E75" s="45">
        <v>3</v>
      </c>
      <c r="F75" s="46" t="s">
        <v>65</v>
      </c>
      <c r="G75" s="47">
        <v>3000</v>
      </c>
      <c r="H75" s="47">
        <f t="shared" si="53"/>
        <v>2250000</v>
      </c>
      <c r="I75" s="47">
        <f t="shared" si="54"/>
        <v>4.5734705171223116</v>
      </c>
      <c r="J75" s="47">
        <f t="shared" si="55"/>
        <v>3430.1028878417337</v>
      </c>
      <c r="K75" s="77"/>
      <c r="L75" s="47">
        <f t="shared" si="56"/>
        <v>3430.1028878417337</v>
      </c>
      <c r="M75" s="47"/>
      <c r="N75" s="90"/>
    </row>
    <row r="76" spans="2:15" ht="33.75" x14ac:dyDescent="0.2">
      <c r="B76" s="89" t="s">
        <v>104</v>
      </c>
      <c r="C76" s="45">
        <v>100</v>
      </c>
      <c r="D76" s="46" t="s">
        <v>105</v>
      </c>
      <c r="E76" s="45">
        <v>1</v>
      </c>
      <c r="F76" s="46" t="s">
        <v>15</v>
      </c>
      <c r="G76" s="47">
        <v>75000</v>
      </c>
      <c r="H76" s="47">
        <f t="shared" si="53"/>
        <v>7500000</v>
      </c>
      <c r="I76" s="47">
        <f t="shared" si="54"/>
        <v>114.33676292805778</v>
      </c>
      <c r="J76" s="47">
        <f t="shared" si="55"/>
        <v>11433.676292805778</v>
      </c>
      <c r="K76" s="77"/>
      <c r="L76" s="47">
        <f t="shared" si="56"/>
        <v>11433.676292805778</v>
      </c>
      <c r="M76" s="47"/>
      <c r="N76" s="90"/>
    </row>
    <row r="77" spans="2:15" ht="22.5" x14ac:dyDescent="0.2">
      <c r="B77" s="89" t="s">
        <v>106</v>
      </c>
      <c r="C77" s="45">
        <f>20+8</f>
        <v>28</v>
      </c>
      <c r="D77" s="46" t="s">
        <v>107</v>
      </c>
      <c r="E77" s="45">
        <v>3</v>
      </c>
      <c r="F77" s="46" t="s">
        <v>65</v>
      </c>
      <c r="G77" s="47">
        <f>5000+2000</f>
        <v>7000</v>
      </c>
      <c r="H77" s="47">
        <f t="shared" si="53"/>
        <v>588000</v>
      </c>
      <c r="I77" s="47">
        <f t="shared" si="54"/>
        <v>10.671431206618726</v>
      </c>
      <c r="J77" s="47">
        <f t="shared" si="55"/>
        <v>896.40022135597292</v>
      </c>
      <c r="K77" s="77"/>
      <c r="L77" s="47">
        <f t="shared" si="56"/>
        <v>896.40022135597292</v>
      </c>
      <c r="M77" s="47"/>
      <c r="N77" s="90"/>
    </row>
    <row r="78" spans="2:15" ht="22.5" x14ac:dyDescent="0.2">
      <c r="B78" s="89" t="s">
        <v>108</v>
      </c>
      <c r="C78" s="45">
        <f>C73</f>
        <v>250</v>
      </c>
      <c r="D78" s="46" t="s">
        <v>94</v>
      </c>
      <c r="E78" s="45">
        <v>14</v>
      </c>
      <c r="F78" s="46" t="s">
        <v>109</v>
      </c>
      <c r="G78" s="47">
        <v>1000</v>
      </c>
      <c r="H78" s="47">
        <f t="shared" si="53"/>
        <v>3500000</v>
      </c>
      <c r="I78" s="47">
        <f t="shared" si="54"/>
        <v>1.5244901723741038</v>
      </c>
      <c r="J78" s="47">
        <f t="shared" si="55"/>
        <v>5335.7156033093634</v>
      </c>
      <c r="K78" s="77"/>
      <c r="L78" s="47">
        <f t="shared" si="56"/>
        <v>5335.7156033093634</v>
      </c>
      <c r="M78" s="47"/>
      <c r="N78" s="90"/>
    </row>
    <row r="79" spans="2:15" s="246" customFormat="1" ht="22.5" x14ac:dyDescent="0.2">
      <c r="B79" s="89" t="s">
        <v>110</v>
      </c>
      <c r="C79" s="45">
        <v>1</v>
      </c>
      <c r="D79" s="46" t="s">
        <v>15</v>
      </c>
      <c r="E79" s="45">
        <v>1</v>
      </c>
      <c r="F79" s="46" t="s">
        <v>111</v>
      </c>
      <c r="G79" s="47">
        <v>6559570</v>
      </c>
      <c r="H79" s="47">
        <f>C79*E79*G79</f>
        <v>6559570</v>
      </c>
      <c r="I79" s="47">
        <f>G79/655.957</f>
        <v>10000</v>
      </c>
      <c r="J79" s="47">
        <f>C79*E79*I79</f>
        <v>10000</v>
      </c>
      <c r="K79" s="77"/>
      <c r="L79" s="47">
        <f t="shared" si="56"/>
        <v>10000</v>
      </c>
      <c r="M79" s="47"/>
      <c r="N79" s="90"/>
    </row>
    <row r="80" spans="2:15" ht="48" x14ac:dyDescent="0.2">
      <c r="B80" s="207" t="s">
        <v>112</v>
      </c>
      <c r="C80" s="207"/>
      <c r="D80" s="207"/>
      <c r="E80" s="207"/>
      <c r="F80" s="207"/>
      <c r="G80" s="207"/>
      <c r="H80" s="207"/>
      <c r="I80" s="207"/>
      <c r="J80" s="207">
        <f>SUM(J81+J85+J88+J93+J96)</f>
        <v>105137.56389519435</v>
      </c>
      <c r="K80" s="210"/>
      <c r="L80" s="214">
        <f t="shared" ref="L80:N80" si="57">SUM(L81+L85+L88+L93+L96)</f>
        <v>0</v>
      </c>
      <c r="M80" s="207">
        <f>SUM(M81+M85+M88+M93+M96)</f>
        <v>105137.56389519435</v>
      </c>
      <c r="N80" s="207">
        <f t="shared" si="57"/>
        <v>0</v>
      </c>
      <c r="O80" s="246"/>
    </row>
    <row r="81" spans="2:15" ht="33.75" x14ac:dyDescent="0.2">
      <c r="B81" s="247" t="s">
        <v>113</v>
      </c>
      <c r="C81" s="248"/>
      <c r="D81" s="249"/>
      <c r="E81" s="248"/>
      <c r="F81" s="249"/>
      <c r="G81" s="250"/>
      <c r="H81" s="250"/>
      <c r="I81" s="250"/>
      <c r="J81" s="250">
        <f>SUM(J82:J84)</f>
        <v>11738.574327280599</v>
      </c>
      <c r="K81" s="77"/>
      <c r="L81" s="250">
        <f t="shared" ref="L81:N81" si="58">SUM(L82:L84)</f>
        <v>0</v>
      </c>
      <c r="M81" s="250">
        <f t="shared" si="58"/>
        <v>11738.574327280599</v>
      </c>
      <c r="N81" s="250">
        <f t="shared" si="58"/>
        <v>0</v>
      </c>
      <c r="O81" s="246"/>
    </row>
    <row r="82" spans="2:15" ht="22.5" x14ac:dyDescent="0.2">
      <c r="B82" s="89" t="s">
        <v>114</v>
      </c>
      <c r="C82" s="45">
        <v>10</v>
      </c>
      <c r="D82" s="46" t="s">
        <v>115</v>
      </c>
      <c r="E82" s="45">
        <v>8</v>
      </c>
      <c r="F82" s="46" t="s">
        <v>116</v>
      </c>
      <c r="G82" s="47">
        <v>15000</v>
      </c>
      <c r="H82" s="47">
        <f t="shared" ref="H82:H84" si="59">C82*E82*G82</f>
        <v>1200000</v>
      </c>
      <c r="I82" s="47">
        <f t="shared" ref="I82:I84" si="60">G82/655.957</f>
        <v>22.867352585611556</v>
      </c>
      <c r="J82" s="47">
        <f t="shared" ref="J82:J84" si="61">C82*E82*I82</f>
        <v>1829.3882068489245</v>
      </c>
      <c r="K82" s="77"/>
      <c r="L82" s="47"/>
      <c r="M82" s="47">
        <v>1829.3882068489245</v>
      </c>
      <c r="N82" s="90"/>
      <c r="O82" s="246"/>
    </row>
    <row r="83" spans="2:15" ht="33.75" x14ac:dyDescent="0.2">
      <c r="B83" s="89" t="s">
        <v>117</v>
      </c>
      <c r="C83" s="45">
        <v>1</v>
      </c>
      <c r="D83" s="46" t="s">
        <v>15</v>
      </c>
      <c r="E83" s="45">
        <v>1</v>
      </c>
      <c r="F83" s="46" t="s">
        <v>16</v>
      </c>
      <c r="G83" s="47">
        <v>5000000</v>
      </c>
      <c r="H83" s="47">
        <f t="shared" si="59"/>
        <v>5000000</v>
      </c>
      <c r="I83" s="47">
        <f t="shared" si="60"/>
        <v>7622.4508618705195</v>
      </c>
      <c r="J83" s="47">
        <f t="shared" si="61"/>
        <v>7622.4508618705195</v>
      </c>
      <c r="K83" s="77"/>
      <c r="L83" s="47"/>
      <c r="M83" s="47">
        <v>7622.4508618705195</v>
      </c>
      <c r="N83" s="90"/>
      <c r="O83" s="246"/>
    </row>
    <row r="84" spans="2:15" ht="33.75" x14ac:dyDescent="0.2">
      <c r="B84" s="89" t="s">
        <v>118</v>
      </c>
      <c r="C84" s="45">
        <v>1</v>
      </c>
      <c r="D84" s="46" t="s">
        <v>119</v>
      </c>
      <c r="E84" s="45">
        <v>1</v>
      </c>
      <c r="F84" s="46" t="s">
        <v>15</v>
      </c>
      <c r="G84" s="47">
        <v>1500000</v>
      </c>
      <c r="H84" s="47">
        <f t="shared" si="59"/>
        <v>1500000</v>
      </c>
      <c r="I84" s="47">
        <f t="shared" si="60"/>
        <v>2286.7352585611557</v>
      </c>
      <c r="J84" s="47">
        <f t="shared" si="61"/>
        <v>2286.7352585611557</v>
      </c>
      <c r="K84" s="77"/>
      <c r="L84" s="47"/>
      <c r="M84" s="47">
        <v>2286.7352585611557</v>
      </c>
      <c r="N84" s="90"/>
      <c r="O84" s="246"/>
    </row>
    <row r="85" spans="2:15" ht="22.5" x14ac:dyDescent="0.2">
      <c r="B85" s="247" t="s">
        <v>120</v>
      </c>
      <c r="C85" s="248"/>
      <c r="D85" s="249"/>
      <c r="E85" s="248"/>
      <c r="F85" s="249"/>
      <c r="G85" s="250"/>
      <c r="H85" s="250"/>
      <c r="I85" s="250"/>
      <c r="J85" s="250">
        <f>SUM(J86:J87)</f>
        <v>18598.780102964065</v>
      </c>
      <c r="K85" s="77"/>
      <c r="L85" s="250">
        <f t="shared" ref="L85:N85" si="62">SUM(L86:L87)</f>
        <v>0</v>
      </c>
      <c r="M85" s="250">
        <f t="shared" si="62"/>
        <v>18598.780102964065</v>
      </c>
      <c r="N85" s="250">
        <f t="shared" si="62"/>
        <v>0</v>
      </c>
      <c r="O85" s="246"/>
    </row>
    <row r="86" spans="2:15" ht="33.75" x14ac:dyDescent="0.2">
      <c r="B86" s="89" t="s">
        <v>121</v>
      </c>
      <c r="C86" s="45">
        <v>10</v>
      </c>
      <c r="D86" s="46" t="s">
        <v>22</v>
      </c>
      <c r="E86" s="45">
        <v>6</v>
      </c>
      <c r="F86" s="46" t="s">
        <v>122</v>
      </c>
      <c r="G86" s="47">
        <v>30000</v>
      </c>
      <c r="H86" s="47">
        <f t="shared" ref="H86:H87" si="63">C86*E86*G86</f>
        <v>1800000</v>
      </c>
      <c r="I86" s="47">
        <f t="shared" ref="I86:I87" si="64">G86/655.957</f>
        <v>45.734705171223112</v>
      </c>
      <c r="J86" s="47">
        <f>C86*E86*I86</f>
        <v>2744.0823102733866</v>
      </c>
      <c r="K86" s="77"/>
      <c r="L86" s="47"/>
      <c r="M86" s="47">
        <v>2744.0823102733866</v>
      </c>
      <c r="N86" s="90"/>
      <c r="O86" s="246"/>
    </row>
    <row r="87" spans="2:15" ht="22.5" x14ac:dyDescent="0.2">
      <c r="B87" s="89" t="s">
        <v>123</v>
      </c>
      <c r="C87" s="45">
        <v>160</v>
      </c>
      <c r="D87" s="46" t="s">
        <v>124</v>
      </c>
      <c r="E87" s="45">
        <v>1</v>
      </c>
      <c r="F87" s="46" t="s">
        <v>125</v>
      </c>
      <c r="G87" s="47">
        <v>65000</v>
      </c>
      <c r="H87" s="47">
        <f t="shared" si="63"/>
        <v>10400000</v>
      </c>
      <c r="I87" s="47">
        <f t="shared" si="64"/>
        <v>99.091861204316743</v>
      </c>
      <c r="J87" s="47">
        <f>C87*E87*I87</f>
        <v>15854.697792690678</v>
      </c>
      <c r="K87" s="77"/>
      <c r="L87" s="47"/>
      <c r="M87" s="47">
        <v>15854.697792690678</v>
      </c>
      <c r="N87" s="90"/>
      <c r="O87" s="246"/>
    </row>
    <row r="88" spans="2:15" ht="33.75" x14ac:dyDescent="0.2">
      <c r="B88" s="247" t="s">
        <v>126</v>
      </c>
      <c r="C88" s="248"/>
      <c r="D88" s="249"/>
      <c r="E88" s="248"/>
      <c r="F88" s="249"/>
      <c r="G88" s="250"/>
      <c r="H88" s="250"/>
      <c r="I88" s="250"/>
      <c r="J88" s="250">
        <f>SUM(J89:J92)</f>
        <v>17226.738947827373</v>
      </c>
      <c r="K88" s="77"/>
      <c r="L88" s="250">
        <f t="shared" ref="L88:N88" si="65">SUM(L89:L92)</f>
        <v>0</v>
      </c>
      <c r="M88" s="250">
        <f t="shared" si="65"/>
        <v>17226.738947827373</v>
      </c>
      <c r="N88" s="250">
        <f t="shared" si="65"/>
        <v>0</v>
      </c>
      <c r="O88" s="246"/>
    </row>
    <row r="89" spans="2:15" ht="33.75" x14ac:dyDescent="0.2">
      <c r="B89" s="89" t="s">
        <v>127</v>
      </c>
      <c r="C89" s="45">
        <v>3</v>
      </c>
      <c r="D89" s="46" t="s">
        <v>128</v>
      </c>
      <c r="E89" s="45">
        <v>1</v>
      </c>
      <c r="F89" s="46" t="s">
        <v>15</v>
      </c>
      <c r="G89" s="47">
        <v>1000000</v>
      </c>
      <c r="H89" s="47">
        <f t="shared" ref="H89:H92" si="66">C89*E89*G89</f>
        <v>3000000</v>
      </c>
      <c r="I89" s="47">
        <f t="shared" ref="I89:I92" si="67">G89/655.957</f>
        <v>1524.4901723741038</v>
      </c>
      <c r="J89" s="47">
        <f>C89*E89*I89</f>
        <v>4573.4705171223113</v>
      </c>
      <c r="K89" s="77"/>
      <c r="L89" s="47"/>
      <c r="M89" s="47">
        <v>4573.4705171223113</v>
      </c>
      <c r="N89" s="90"/>
      <c r="O89" s="246"/>
    </row>
    <row r="90" spans="2:15" ht="45" x14ac:dyDescent="0.2">
      <c r="B90" s="89" t="s">
        <v>129</v>
      </c>
      <c r="C90" s="45">
        <v>1</v>
      </c>
      <c r="D90" s="46" t="s">
        <v>130</v>
      </c>
      <c r="E90" s="45">
        <v>2</v>
      </c>
      <c r="F90" s="46" t="s">
        <v>111</v>
      </c>
      <c r="G90" s="47">
        <v>1300000</v>
      </c>
      <c r="H90" s="47">
        <f t="shared" si="66"/>
        <v>2600000</v>
      </c>
      <c r="I90" s="47">
        <f t="shared" si="67"/>
        <v>1981.837224086335</v>
      </c>
      <c r="J90" s="47">
        <f t="shared" ref="J90:J92" si="68">C90*E90*I90</f>
        <v>3963.6744481726701</v>
      </c>
      <c r="K90" s="77"/>
      <c r="L90" s="47"/>
      <c r="M90" s="47">
        <v>3963.6744481726701</v>
      </c>
      <c r="N90" s="90"/>
      <c r="O90" s="246"/>
    </row>
    <row r="91" spans="2:15" ht="22.5" x14ac:dyDescent="0.2">
      <c r="B91" s="89" t="s">
        <v>131</v>
      </c>
      <c r="C91" s="45">
        <v>2</v>
      </c>
      <c r="D91" s="46" t="s">
        <v>98</v>
      </c>
      <c r="E91" s="45">
        <v>1</v>
      </c>
      <c r="F91" s="46" t="s">
        <v>15</v>
      </c>
      <c r="G91" s="47">
        <v>1500000</v>
      </c>
      <c r="H91" s="47">
        <f t="shared" si="66"/>
        <v>3000000</v>
      </c>
      <c r="I91" s="47">
        <f t="shared" si="67"/>
        <v>2286.7352585611557</v>
      </c>
      <c r="J91" s="47">
        <f t="shared" si="68"/>
        <v>4573.4705171223113</v>
      </c>
      <c r="K91" s="77"/>
      <c r="L91" s="47"/>
      <c r="M91" s="47">
        <v>4573.4705171223113</v>
      </c>
      <c r="N91" s="90"/>
      <c r="O91" s="246"/>
    </row>
    <row r="92" spans="2:15" ht="33.75" x14ac:dyDescent="0.2">
      <c r="B92" s="89" t="s">
        <v>132</v>
      </c>
      <c r="C92" s="45">
        <v>6</v>
      </c>
      <c r="D92" s="46" t="s">
        <v>98</v>
      </c>
      <c r="E92" s="45">
        <v>1</v>
      </c>
      <c r="F92" s="46" t="s">
        <v>15</v>
      </c>
      <c r="G92" s="47">
        <v>450000</v>
      </c>
      <c r="H92" s="47">
        <f t="shared" si="66"/>
        <v>2700000</v>
      </c>
      <c r="I92" s="47">
        <f t="shared" si="67"/>
        <v>686.02057756834677</v>
      </c>
      <c r="J92" s="47">
        <f t="shared" si="68"/>
        <v>4116.1234654100808</v>
      </c>
      <c r="K92" s="77"/>
      <c r="L92" s="47"/>
      <c r="M92" s="47">
        <v>4116.1234654100808</v>
      </c>
      <c r="N92" s="90"/>
      <c r="O92" s="246"/>
    </row>
    <row r="93" spans="2:15" ht="22.5" x14ac:dyDescent="0.2">
      <c r="B93" s="247" t="s">
        <v>133</v>
      </c>
      <c r="C93" s="248"/>
      <c r="D93" s="249"/>
      <c r="E93" s="248"/>
      <c r="F93" s="249"/>
      <c r="G93" s="250"/>
      <c r="H93" s="250"/>
      <c r="I93" s="250"/>
      <c r="J93" s="250">
        <f>SUM(J94:J95)</f>
        <v>4573.4705171223113</v>
      </c>
      <c r="K93" s="77"/>
      <c r="L93" s="250">
        <f t="shared" ref="L93:N93" si="69">SUM(L94:L95)</f>
        <v>0</v>
      </c>
      <c r="M93" s="250">
        <f>SUM(M94:M95)</f>
        <v>4573.4705171223113</v>
      </c>
      <c r="N93" s="250">
        <f t="shared" si="69"/>
        <v>0</v>
      </c>
      <c r="O93" s="246"/>
    </row>
    <row r="94" spans="2:15" ht="22.5" x14ac:dyDescent="0.2">
      <c r="B94" s="89" t="s">
        <v>134</v>
      </c>
      <c r="C94" s="45">
        <v>1</v>
      </c>
      <c r="D94" s="46" t="s">
        <v>135</v>
      </c>
      <c r="E94" s="45">
        <v>1</v>
      </c>
      <c r="F94" s="46" t="s">
        <v>15</v>
      </c>
      <c r="G94" s="47">
        <v>1500000</v>
      </c>
      <c r="H94" s="47">
        <f t="shared" ref="H94:H96" si="70">C94*E94*G94</f>
        <v>1500000</v>
      </c>
      <c r="I94" s="47">
        <f t="shared" ref="I94:I96" si="71">G94/655.957</f>
        <v>2286.7352585611557</v>
      </c>
      <c r="J94" s="47">
        <f t="shared" ref="J94:J95" si="72">C94*E94*I94</f>
        <v>2286.7352585611557</v>
      </c>
      <c r="K94" s="77"/>
      <c r="L94" s="47"/>
      <c r="M94" s="47">
        <v>2286.7352585611557</v>
      </c>
      <c r="N94" s="90"/>
      <c r="O94" s="246"/>
    </row>
    <row r="95" spans="2:15" ht="22.5" x14ac:dyDescent="0.2">
      <c r="B95" s="89" t="s">
        <v>136</v>
      </c>
      <c r="C95" s="45">
        <v>3</v>
      </c>
      <c r="D95" s="46" t="s">
        <v>135</v>
      </c>
      <c r="E95" s="45">
        <v>1</v>
      </c>
      <c r="F95" s="46" t="s">
        <v>15</v>
      </c>
      <c r="G95" s="47">
        <v>500000</v>
      </c>
      <c r="H95" s="47">
        <f t="shared" si="70"/>
        <v>1500000</v>
      </c>
      <c r="I95" s="47">
        <f t="shared" si="71"/>
        <v>762.24508618705192</v>
      </c>
      <c r="J95" s="47">
        <f t="shared" si="72"/>
        <v>2286.7352585611557</v>
      </c>
      <c r="K95" s="77"/>
      <c r="L95" s="47"/>
      <c r="M95" s="47">
        <v>2286.7352585611557</v>
      </c>
      <c r="N95" s="90"/>
    </row>
    <row r="96" spans="2:15" s="246" customFormat="1" x14ac:dyDescent="0.2">
      <c r="B96" s="247" t="s">
        <v>137</v>
      </c>
      <c r="C96" s="248">
        <v>1</v>
      </c>
      <c r="D96" s="249" t="s">
        <v>15</v>
      </c>
      <c r="E96" s="248">
        <v>1</v>
      </c>
      <c r="F96" s="249" t="s">
        <v>59</v>
      </c>
      <c r="G96" s="250">
        <v>34765721</v>
      </c>
      <c r="H96" s="250">
        <f t="shared" si="70"/>
        <v>34765721</v>
      </c>
      <c r="I96" s="250">
        <f t="shared" si="71"/>
        <v>53000</v>
      </c>
      <c r="J96" s="250">
        <f>C96*E96*I96</f>
        <v>53000</v>
      </c>
      <c r="K96" s="77"/>
      <c r="L96" s="250"/>
      <c r="M96" s="250">
        <v>53000</v>
      </c>
      <c r="N96" s="283"/>
    </row>
    <row r="97" spans="2:15" ht="12" x14ac:dyDescent="0.2">
      <c r="B97" s="207" t="s">
        <v>138</v>
      </c>
      <c r="C97" s="207"/>
      <c r="D97" s="207"/>
      <c r="E97" s="207"/>
      <c r="F97" s="207"/>
      <c r="G97" s="207"/>
      <c r="H97" s="207"/>
      <c r="I97" s="207"/>
      <c r="J97" s="207">
        <f>SUM(J98:J104)</f>
        <v>89583.403332840418</v>
      </c>
      <c r="K97" s="210"/>
      <c r="L97" s="214">
        <f>SUM(L98:L104)</f>
        <v>44791.701666420209</v>
      </c>
      <c r="M97" s="207">
        <f>SUM(M98:M104)</f>
        <v>44791.701666420209</v>
      </c>
      <c r="N97" s="207">
        <f t="shared" ref="N97" si="73">SUM(N98:N104)</f>
        <v>0</v>
      </c>
    </row>
    <row r="98" spans="2:15" x14ac:dyDescent="0.2">
      <c r="B98" s="89" t="s">
        <v>139</v>
      </c>
      <c r="C98" s="45">
        <v>1</v>
      </c>
      <c r="D98" s="46" t="s">
        <v>140</v>
      </c>
      <c r="E98" s="45">
        <v>22</v>
      </c>
      <c r="F98" s="46" t="s">
        <v>30</v>
      </c>
      <c r="G98" s="47">
        <v>900000</v>
      </c>
      <c r="H98" s="47">
        <f t="shared" ref="H98:H104" si="74">C98*E98*G98</f>
        <v>19800000</v>
      </c>
      <c r="I98" s="47">
        <f t="shared" ref="I98:I104" si="75">G98/655.957</f>
        <v>1372.0411551366935</v>
      </c>
      <c r="J98" s="47">
        <f t="shared" ref="J98:J104" si="76">C98*E98*I98</f>
        <v>30184.905413007258</v>
      </c>
      <c r="K98" s="77"/>
      <c r="L98" s="47">
        <f>J98/2</f>
        <v>15092.452706503629</v>
      </c>
      <c r="M98" s="47">
        <f>J98/2</f>
        <v>15092.452706503629</v>
      </c>
      <c r="N98" s="90"/>
    </row>
    <row r="99" spans="2:15" ht="22.5" x14ac:dyDescent="0.2">
      <c r="B99" s="89" t="s">
        <v>141</v>
      </c>
      <c r="C99" s="45">
        <v>10</v>
      </c>
      <c r="D99" s="46" t="s">
        <v>142</v>
      </c>
      <c r="E99" s="45">
        <f>4*7</f>
        <v>28</v>
      </c>
      <c r="F99" s="46" t="s">
        <v>65</v>
      </c>
      <c r="G99" s="47">
        <v>28500</v>
      </c>
      <c r="H99" s="47">
        <f t="shared" si="74"/>
        <v>7980000</v>
      </c>
      <c r="I99" s="47">
        <f t="shared" si="75"/>
        <v>43.447969912661961</v>
      </c>
      <c r="J99" s="47">
        <f t="shared" si="76"/>
        <v>12165.43157554535</v>
      </c>
      <c r="K99" s="77"/>
      <c r="L99" s="47">
        <f t="shared" ref="L99:L104" si="77">J99/2</f>
        <v>6082.715787772675</v>
      </c>
      <c r="M99" s="47">
        <f t="shared" ref="M99:M104" si="78">J99/2</f>
        <v>6082.715787772675</v>
      </c>
      <c r="N99" s="90"/>
    </row>
    <row r="100" spans="2:15" x14ac:dyDescent="0.2">
      <c r="B100" s="89" t="s">
        <v>143</v>
      </c>
      <c r="C100" s="45">
        <v>20</v>
      </c>
      <c r="D100" s="46" t="s">
        <v>142</v>
      </c>
      <c r="E100" s="45">
        <v>6</v>
      </c>
      <c r="F100" s="46" t="s">
        <v>65</v>
      </c>
      <c r="G100" s="47">
        <v>35000</v>
      </c>
      <c r="H100" s="47">
        <f t="shared" si="74"/>
        <v>4200000</v>
      </c>
      <c r="I100" s="47">
        <f t="shared" si="75"/>
        <v>53.357156033093631</v>
      </c>
      <c r="J100" s="47">
        <f t="shared" si="76"/>
        <v>6402.858723971236</v>
      </c>
      <c r="K100" s="77"/>
      <c r="L100" s="47">
        <f t="shared" si="77"/>
        <v>3201.429361985618</v>
      </c>
      <c r="M100" s="47">
        <f t="shared" si="78"/>
        <v>3201.429361985618</v>
      </c>
      <c r="N100" s="90"/>
    </row>
    <row r="101" spans="2:15" ht="22.5" x14ac:dyDescent="0.2">
      <c r="B101" s="251" t="s">
        <v>144</v>
      </c>
      <c r="C101" s="252">
        <v>1</v>
      </c>
      <c r="D101" s="253" t="s">
        <v>145</v>
      </c>
      <c r="E101" s="252">
        <v>2</v>
      </c>
      <c r="F101" s="253" t="s">
        <v>111</v>
      </c>
      <c r="G101" s="254">
        <v>2200000</v>
      </c>
      <c r="H101" s="47">
        <f t="shared" si="74"/>
        <v>4400000</v>
      </c>
      <c r="I101" s="47">
        <f t="shared" si="75"/>
        <v>3353.8783792230283</v>
      </c>
      <c r="J101" s="47">
        <f t="shared" si="76"/>
        <v>6707.7567584460567</v>
      </c>
      <c r="K101" s="77"/>
      <c r="L101" s="47">
        <f t="shared" si="77"/>
        <v>3353.8783792230283</v>
      </c>
      <c r="M101" s="47">
        <f t="shared" si="78"/>
        <v>3353.8783792230283</v>
      </c>
      <c r="N101" s="255"/>
      <c r="O101" s="246"/>
    </row>
    <row r="102" spans="2:15" s="246" customFormat="1" ht="22.5" x14ac:dyDescent="0.2">
      <c r="B102" s="89" t="s">
        <v>146</v>
      </c>
      <c r="C102" s="45">
        <v>1</v>
      </c>
      <c r="D102" s="46" t="s">
        <v>15</v>
      </c>
      <c r="E102" s="45">
        <v>1</v>
      </c>
      <c r="F102" s="46" t="s">
        <v>59</v>
      </c>
      <c r="G102" s="47">
        <f>26500*655.957</f>
        <v>17382860.5</v>
      </c>
      <c r="H102" s="47">
        <f t="shared" si="74"/>
        <v>17382860.5</v>
      </c>
      <c r="I102" s="47">
        <f t="shared" si="75"/>
        <v>26500</v>
      </c>
      <c r="J102" s="47">
        <f t="shared" si="76"/>
        <v>26500</v>
      </c>
      <c r="K102" s="77"/>
      <c r="L102" s="47">
        <f t="shared" si="77"/>
        <v>13250</v>
      </c>
      <c r="M102" s="47">
        <f t="shared" si="78"/>
        <v>13250</v>
      </c>
      <c r="N102" s="90"/>
    </row>
    <row r="103" spans="2:15" s="246" customFormat="1" x14ac:dyDescent="0.2">
      <c r="B103" s="18" t="s">
        <v>147</v>
      </c>
      <c r="C103" s="252">
        <v>1</v>
      </c>
      <c r="D103" s="46" t="s">
        <v>15</v>
      </c>
      <c r="E103" s="45">
        <v>1</v>
      </c>
      <c r="F103" s="46" t="s">
        <v>59</v>
      </c>
      <c r="G103" s="254">
        <v>1500000</v>
      </c>
      <c r="H103" s="47">
        <f t="shared" si="74"/>
        <v>1500000</v>
      </c>
      <c r="I103" s="47">
        <f t="shared" si="75"/>
        <v>2286.7352585611557</v>
      </c>
      <c r="J103" s="47">
        <f t="shared" si="76"/>
        <v>2286.7352585611557</v>
      </c>
      <c r="K103" s="77"/>
      <c r="L103" s="47">
        <f t="shared" ref="L103" si="79">J103/2</f>
        <v>1143.3676292805778</v>
      </c>
      <c r="M103" s="47">
        <f t="shared" ref="M103" si="80">J103/2</f>
        <v>1143.3676292805778</v>
      </c>
      <c r="N103" s="255"/>
    </row>
    <row r="104" spans="2:15" ht="23.25" thickBot="1" x14ac:dyDescent="0.25">
      <c r="B104" s="91" t="s">
        <v>148</v>
      </c>
      <c r="C104" s="92">
        <v>10</v>
      </c>
      <c r="D104" s="93" t="s">
        <v>142</v>
      </c>
      <c r="E104" s="92">
        <v>10</v>
      </c>
      <c r="F104" s="93" t="s">
        <v>65</v>
      </c>
      <c r="G104" s="94">
        <v>35000</v>
      </c>
      <c r="H104" s="94">
        <f t="shared" si="74"/>
        <v>3500000</v>
      </c>
      <c r="I104" s="94">
        <f t="shared" si="75"/>
        <v>53.357156033093631</v>
      </c>
      <c r="J104" s="94">
        <f t="shared" si="76"/>
        <v>5335.7156033093634</v>
      </c>
      <c r="K104" s="77"/>
      <c r="L104" s="47">
        <f t="shared" si="77"/>
        <v>2667.8578016546817</v>
      </c>
      <c r="M104" s="47">
        <f t="shared" si="78"/>
        <v>2667.8578016546817</v>
      </c>
      <c r="N104" s="95"/>
    </row>
    <row r="105" spans="2:15" ht="12" thickBot="1" x14ac:dyDescent="0.25">
      <c r="B105" s="74"/>
      <c r="C105" s="75"/>
      <c r="D105" s="76"/>
      <c r="E105" s="75"/>
      <c r="F105" s="76"/>
      <c r="G105" s="77"/>
      <c r="H105" s="77"/>
      <c r="I105" s="77"/>
      <c r="J105" s="86" t="s">
        <v>149</v>
      </c>
      <c r="K105" s="211"/>
      <c r="L105" s="87" t="s">
        <v>10</v>
      </c>
      <c r="M105" s="87" t="s">
        <v>11</v>
      </c>
      <c r="N105" s="88"/>
    </row>
    <row r="106" spans="2:15" x14ac:dyDescent="0.2">
      <c r="B106" s="78" t="s">
        <v>150</v>
      </c>
      <c r="C106" s="48"/>
      <c r="J106" s="81">
        <f>SUM(J3+J12+J37+J62)</f>
        <v>1766865.2527528482</v>
      </c>
      <c r="K106" s="211"/>
      <c r="L106" s="49">
        <f>SUM(L3+L12+L37+L62)</f>
        <v>1293765.8105638023</v>
      </c>
      <c r="M106" s="49">
        <f>SUM(M3+M12+M37+M62)</f>
        <v>473099.44218904595</v>
      </c>
      <c r="N106" s="82">
        <f>SUM(N3+N12+N37+N62)</f>
        <v>0</v>
      </c>
    </row>
    <row r="107" spans="2:15" x14ac:dyDescent="0.2">
      <c r="B107" s="79" t="s">
        <v>151</v>
      </c>
      <c r="C107" s="48"/>
      <c r="J107" s="81">
        <f>J106*0.055</f>
        <v>97177.588901406649</v>
      </c>
      <c r="K107" s="211"/>
      <c r="L107" s="49">
        <f t="shared" ref="L107:N107" si="81">L106*0.055</f>
        <v>71157.11958100913</v>
      </c>
      <c r="M107" s="49">
        <f t="shared" si="81"/>
        <v>26020.469320397526</v>
      </c>
      <c r="N107" s="82">
        <f t="shared" si="81"/>
        <v>0</v>
      </c>
    </row>
    <row r="108" spans="2:15" ht="23.25" customHeight="1" thickBot="1" x14ac:dyDescent="0.25">
      <c r="B108" s="80" t="s">
        <v>152</v>
      </c>
      <c r="C108" s="48"/>
      <c r="J108" s="83">
        <f>J106+J107</f>
        <v>1864042.8416542548</v>
      </c>
      <c r="K108" s="211"/>
      <c r="L108" s="84">
        <f t="shared" ref="L108:N108" si="82">L106+L107</f>
        <v>1364922.9301448113</v>
      </c>
      <c r="M108" s="84">
        <f t="shared" si="82"/>
        <v>499119.91150944348</v>
      </c>
      <c r="N108" s="85">
        <f t="shared" si="82"/>
        <v>0</v>
      </c>
    </row>
    <row r="109" spans="2:15" x14ac:dyDescent="0.2">
      <c r="C109" s="50"/>
    </row>
    <row r="110" spans="2:15" x14ac:dyDescent="0.2">
      <c r="C110" s="5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O85"/>
  <sheetViews>
    <sheetView zoomScale="80" zoomScaleNormal="80" workbookViewId="0">
      <selection activeCell="B25" sqref="B25"/>
    </sheetView>
  </sheetViews>
  <sheetFormatPr baseColWidth="10" defaultColWidth="11.42578125" defaultRowHeight="15" x14ac:dyDescent="0.25"/>
  <cols>
    <col min="1" max="1" width="3.85546875" customWidth="1"/>
    <col min="2" max="2" width="48.140625" customWidth="1"/>
    <col min="5" max="5" width="13.5703125" customWidth="1"/>
    <col min="6" max="6" width="11.5703125" bestFit="1" customWidth="1"/>
    <col min="7" max="7" width="16.7109375" customWidth="1"/>
    <col min="8" max="8" width="16.85546875" customWidth="1"/>
    <col min="9" max="9" width="14.140625" style="228" customWidth="1"/>
    <col min="13" max="13" width="32.7109375" style="37" customWidth="1"/>
  </cols>
  <sheetData>
    <row r="1" spans="2:13" ht="21" thickBot="1" x14ac:dyDescent="0.3">
      <c r="B1" s="203" t="s">
        <v>153</v>
      </c>
      <c r="K1" s="42" t="s">
        <v>154</v>
      </c>
      <c r="L1" s="42">
        <v>655.95699999999999</v>
      </c>
    </row>
    <row r="2" spans="2:13" ht="43.5" customHeight="1" thickBot="1" x14ac:dyDescent="0.3">
      <c r="B2" s="204" t="s">
        <v>155</v>
      </c>
      <c r="C2" s="204" t="s">
        <v>156</v>
      </c>
      <c r="D2" s="204" t="s">
        <v>157</v>
      </c>
      <c r="E2" s="204" t="s">
        <v>158</v>
      </c>
      <c r="F2" s="204" t="s">
        <v>159</v>
      </c>
      <c r="G2" s="204" t="s">
        <v>160</v>
      </c>
      <c r="H2" s="204" t="s">
        <v>161</v>
      </c>
      <c r="I2" s="208"/>
      <c r="J2" s="212" t="s">
        <v>162</v>
      </c>
      <c r="K2" s="204" t="s">
        <v>163</v>
      </c>
      <c r="L2" s="204" t="s">
        <v>12</v>
      </c>
    </row>
    <row r="3" spans="2:13" ht="15.75" x14ac:dyDescent="0.25">
      <c r="B3" s="205" t="s">
        <v>13</v>
      </c>
      <c r="C3" s="205"/>
      <c r="D3" s="205"/>
      <c r="E3" s="205"/>
      <c r="F3" s="205"/>
      <c r="G3" s="205">
        <f>SUM(G4:G5)</f>
        <v>4000000</v>
      </c>
      <c r="H3" s="205">
        <f>SUM(H4:H5)</f>
        <v>6097.9606894964154</v>
      </c>
      <c r="I3" s="230">
        <f>H3/$H$74</f>
        <v>9.2782937583714264E-3</v>
      </c>
      <c r="J3" s="215">
        <f>SUM(J4:J5)</f>
        <v>3048.9803447482077</v>
      </c>
      <c r="K3" s="205">
        <f t="shared" ref="K3:L3" si="0">SUM(K4:K5)</f>
        <v>3048.9803447482077</v>
      </c>
      <c r="L3" s="205">
        <f t="shared" si="0"/>
        <v>0</v>
      </c>
    </row>
    <row r="4" spans="2:13" x14ac:dyDescent="0.25">
      <c r="B4" s="18" t="s">
        <v>164</v>
      </c>
      <c r="C4" s="1" t="s">
        <v>165</v>
      </c>
      <c r="D4" s="2">
        <v>1</v>
      </c>
      <c r="E4" s="9">
        <v>2500000</v>
      </c>
      <c r="F4" s="9">
        <f>E4/$L$1</f>
        <v>3811.2254309352597</v>
      </c>
      <c r="G4" s="9">
        <f>D4*E4</f>
        <v>2500000</v>
      </c>
      <c r="H4" s="9">
        <f>G4/L1</f>
        <v>3811.2254309352597</v>
      </c>
      <c r="I4" s="226"/>
      <c r="J4" s="9">
        <f>H4/2</f>
        <v>1905.6127154676299</v>
      </c>
      <c r="K4" s="9">
        <f>H4/2</f>
        <v>1905.6127154676299</v>
      </c>
      <c r="L4" s="51"/>
    </row>
    <row r="5" spans="2:13" ht="15.75" thickBot="1" x14ac:dyDescent="0.3">
      <c r="B5" s="52" t="s">
        <v>166</v>
      </c>
      <c r="C5" s="53" t="s">
        <v>165</v>
      </c>
      <c r="D5" s="54">
        <v>1</v>
      </c>
      <c r="E5" s="55">
        <v>1500000</v>
      </c>
      <c r="F5" s="55">
        <f>E5/$L$1</f>
        <v>2286.7352585611557</v>
      </c>
      <c r="G5" s="55">
        <f>D5*E5</f>
        <v>1500000</v>
      </c>
      <c r="H5" s="55">
        <f>G5/L1</f>
        <v>2286.7352585611557</v>
      </c>
      <c r="I5" s="226"/>
      <c r="J5" s="55">
        <f>H5/2</f>
        <v>1143.3676292805778</v>
      </c>
      <c r="K5" s="55">
        <f>H5/2</f>
        <v>1143.3676292805778</v>
      </c>
      <c r="L5" s="56"/>
    </row>
    <row r="6" spans="2:13" ht="15.75" x14ac:dyDescent="0.25">
      <c r="B6" s="205" t="s">
        <v>167</v>
      </c>
      <c r="C6" s="205"/>
      <c r="D6" s="205"/>
      <c r="E6" s="205"/>
      <c r="F6" s="205"/>
      <c r="G6" s="205">
        <f>G7+G13+G23</f>
        <v>124041123.8</v>
      </c>
      <c r="H6" s="205">
        <f>SUM(H7+H13+H23)</f>
        <v>189099.47420333955</v>
      </c>
      <c r="I6" s="230">
        <f>H6/$H$74</f>
        <v>0.28772249618372936</v>
      </c>
      <c r="J6" s="215">
        <f>SUM(J7+J13+J23)</f>
        <v>94549.737101669773</v>
      </c>
      <c r="K6" s="205">
        <f t="shared" ref="K6:L6" si="1">SUM(K7+K13+K23)</f>
        <v>94549.737101669773</v>
      </c>
      <c r="L6" s="205">
        <f t="shared" si="1"/>
        <v>0</v>
      </c>
      <c r="M6" s="246"/>
    </row>
    <row r="7" spans="2:13" x14ac:dyDescent="0.25">
      <c r="B7" s="207" t="s">
        <v>168</v>
      </c>
      <c r="C7" s="207"/>
      <c r="D7" s="207"/>
      <c r="E7" s="207">
        <f>SUM(E8:E12)</f>
        <v>3343828</v>
      </c>
      <c r="F7" s="207">
        <f>SUM(F8:F21)</f>
        <v>12774.551228205508</v>
      </c>
      <c r="G7" s="207">
        <f>SUM(G8:G12)</f>
        <v>67820388</v>
      </c>
      <c r="H7" s="207">
        <f>SUM(H8:H12)</f>
        <v>103391.5149925986</v>
      </c>
      <c r="I7" s="226"/>
      <c r="J7" s="221">
        <f>SUM(J8:J12)</f>
        <v>51695.757496299302</v>
      </c>
      <c r="K7" s="221">
        <f t="shared" ref="K7:L7" si="2">SUM(K8:K12)</f>
        <v>51695.757496299302</v>
      </c>
      <c r="L7" s="225">
        <f t="shared" si="2"/>
        <v>0</v>
      </c>
    </row>
    <row r="8" spans="2:13" x14ac:dyDescent="0.25">
      <c r="B8" s="18" t="s">
        <v>169</v>
      </c>
      <c r="C8" s="1" t="s">
        <v>30</v>
      </c>
      <c r="D8" s="2">
        <v>21</v>
      </c>
      <c r="E8" s="9">
        <f>(745909+15000)</f>
        <v>760909</v>
      </c>
      <c r="F8" s="9">
        <f>E8/$L$1</f>
        <v>1159.9982925710069</v>
      </c>
      <c r="G8" s="9">
        <f>D8*E8</f>
        <v>15979089</v>
      </c>
      <c r="H8" s="10">
        <f>G8/$L$1</f>
        <v>24359.964143991147</v>
      </c>
      <c r="I8" s="229"/>
      <c r="J8" s="10">
        <f>H8/2</f>
        <v>12179.982071995573</v>
      </c>
      <c r="K8" s="10">
        <f>H8/2</f>
        <v>12179.982071995573</v>
      </c>
      <c r="L8" s="57"/>
    </row>
    <row r="9" spans="2:13" x14ac:dyDescent="0.25">
      <c r="B9" s="18" t="s">
        <v>170</v>
      </c>
      <c r="C9" s="1" t="s">
        <v>30</v>
      </c>
      <c r="D9" s="2">
        <v>21</v>
      </c>
      <c r="E9" s="9">
        <f>(411386+15000)*4</f>
        <v>1705544</v>
      </c>
      <c r="F9" s="9">
        <f>E9/$L$1</f>
        <v>2600.0850665516186</v>
      </c>
      <c r="G9" s="9">
        <f>D9*E9</f>
        <v>35816424</v>
      </c>
      <c r="H9" s="10">
        <f>G9/$L$1</f>
        <v>54601.786397583986</v>
      </c>
      <c r="I9" s="229"/>
      <c r="J9" s="10">
        <f t="shared" ref="J9:J12" si="3">H9/2</f>
        <v>27300.893198791993</v>
      </c>
      <c r="K9" s="10">
        <f t="shared" ref="K9:K12" si="4">H9/2</f>
        <v>27300.893198791993</v>
      </c>
      <c r="L9" s="57"/>
      <c r="M9" s="17"/>
    </row>
    <row r="10" spans="2:13" x14ac:dyDescent="0.25">
      <c r="B10" s="18" t="s">
        <v>171</v>
      </c>
      <c r="C10" s="1" t="s">
        <v>30</v>
      </c>
      <c r="D10" s="2">
        <v>21</v>
      </c>
      <c r="E10" s="9">
        <f>(620833+15000)</f>
        <v>635833</v>
      </c>
      <c r="F10" s="9">
        <f>E10/$L$1</f>
        <v>969.32115977114358</v>
      </c>
      <c r="G10" s="9">
        <f>D10*E10</f>
        <v>13352493</v>
      </c>
      <c r="H10" s="10">
        <f>G10/$L$1</f>
        <v>20355.744355194016</v>
      </c>
      <c r="I10" s="229"/>
      <c r="J10" s="10">
        <f t="shared" si="3"/>
        <v>10177.872177597008</v>
      </c>
      <c r="K10" s="10">
        <f t="shared" si="4"/>
        <v>10177.872177597008</v>
      </c>
      <c r="L10" s="51"/>
    </row>
    <row r="11" spans="2:13" x14ac:dyDescent="0.25">
      <c r="B11" s="19" t="s">
        <v>172</v>
      </c>
      <c r="C11" s="1" t="s">
        <v>30</v>
      </c>
      <c r="D11" s="2">
        <v>21</v>
      </c>
      <c r="E11" s="9">
        <f>(106542+15000)</f>
        <v>121542</v>
      </c>
      <c r="F11" s="9">
        <f>E11/$L$1</f>
        <v>185.28958453069333</v>
      </c>
      <c r="G11" s="9">
        <f>D11*E11</f>
        <v>2552382</v>
      </c>
      <c r="H11" s="10">
        <f>G11/$L$1</f>
        <v>3891.0812751445596</v>
      </c>
      <c r="I11" s="229"/>
      <c r="J11" s="10">
        <f t="shared" si="3"/>
        <v>1945.5406375722798</v>
      </c>
      <c r="K11" s="10">
        <f t="shared" si="4"/>
        <v>1945.5406375722798</v>
      </c>
      <c r="L11" s="51"/>
    </row>
    <row r="12" spans="2:13" x14ac:dyDescent="0.25">
      <c r="B12" s="18" t="s">
        <v>173</v>
      </c>
      <c r="C12" s="1" t="s">
        <v>174</v>
      </c>
      <c r="D12" s="2">
        <v>1</v>
      </c>
      <c r="E12" s="9">
        <f>(35000+10000)+(25000*3)</f>
        <v>120000</v>
      </c>
      <c r="F12" s="9">
        <f>E12/$L$1</f>
        <v>182.93882068489245</v>
      </c>
      <c r="G12" s="9">
        <f>D12*E12</f>
        <v>120000</v>
      </c>
      <c r="H12" s="10">
        <f>G12/$L$1</f>
        <v>182.93882068489245</v>
      </c>
      <c r="I12" s="229"/>
      <c r="J12" s="10">
        <f t="shared" si="3"/>
        <v>91.469410342446224</v>
      </c>
      <c r="K12" s="10">
        <f t="shared" si="4"/>
        <v>91.469410342446224</v>
      </c>
      <c r="L12" s="51"/>
    </row>
    <row r="13" spans="2:13" x14ac:dyDescent="0.25">
      <c r="B13" s="207" t="s">
        <v>44</v>
      </c>
      <c r="C13" s="207"/>
      <c r="D13" s="207"/>
      <c r="E13" s="207">
        <f>SUM(E14:E22)</f>
        <v>2547864.1500000004</v>
      </c>
      <c r="F13" s="207">
        <f>SUM(F14:F22)</f>
        <v>3884.1938572192994</v>
      </c>
      <c r="G13" s="207">
        <f>SUM(G14:G22)</f>
        <v>31294369.800000001</v>
      </c>
      <c r="H13" s="207">
        <f>SUM(H14:H22)</f>
        <v>47707.959210740948</v>
      </c>
      <c r="I13" s="226"/>
      <c r="J13" s="221">
        <f>SUM(J14:J22)</f>
        <v>23853.979605370474</v>
      </c>
      <c r="K13" s="221">
        <f>SUM(K14:K22)</f>
        <v>23853.979605370474</v>
      </c>
      <c r="L13" s="225">
        <f t="shared" ref="L13" si="5">SUM(L16:L22)</f>
        <v>0</v>
      </c>
    </row>
    <row r="14" spans="2:13" x14ac:dyDescent="0.25">
      <c r="B14" s="18" t="s">
        <v>175</v>
      </c>
      <c r="C14" s="4" t="s">
        <v>30</v>
      </c>
      <c r="D14" s="5">
        <v>12</v>
      </c>
      <c r="E14" s="11">
        <f>(1276178+15000)*25%</f>
        <v>322794.5</v>
      </c>
      <c r="F14" s="11">
        <f t="shared" ref="F14:F22" si="6">E14/$L$1</f>
        <v>492.09704294641267</v>
      </c>
      <c r="G14" s="11">
        <f t="shared" ref="G14:G21" si="7">D14*E14</f>
        <v>3873534</v>
      </c>
      <c r="H14" s="12">
        <f t="shared" ref="H14:H22" si="8">G14/$L$1</f>
        <v>5905.1645153569516</v>
      </c>
      <c r="I14" s="229"/>
      <c r="J14" s="12">
        <f t="shared" ref="J14:J15" si="9">H14/2</f>
        <v>2952.5822576784758</v>
      </c>
      <c r="K14" s="12">
        <f t="shared" ref="K14:K15" si="10">H14/2</f>
        <v>2952.5822576784758</v>
      </c>
      <c r="L14" s="58"/>
      <c r="M14" s="275"/>
    </row>
    <row r="15" spans="2:13" x14ac:dyDescent="0.25">
      <c r="B15" s="18" t="s">
        <v>176</v>
      </c>
      <c r="C15" s="4" t="s">
        <v>30</v>
      </c>
      <c r="D15" s="5">
        <v>12</v>
      </c>
      <c r="E15" s="11">
        <f>(1093719+15000)*50%</f>
        <v>554359.5</v>
      </c>
      <c r="F15" s="11">
        <f t="shared" si="6"/>
        <v>845.11560971222195</v>
      </c>
      <c r="G15" s="11">
        <f t="shared" si="7"/>
        <v>6652314</v>
      </c>
      <c r="H15" s="12">
        <f t="shared" si="8"/>
        <v>10141.387316546665</v>
      </c>
      <c r="I15" s="229"/>
      <c r="J15" s="12">
        <f t="shared" si="9"/>
        <v>5070.6936582733324</v>
      </c>
      <c r="K15" s="12">
        <f t="shared" si="10"/>
        <v>5070.6936582733324</v>
      </c>
      <c r="L15" s="58"/>
      <c r="M15" s="275"/>
    </row>
    <row r="16" spans="2:13" x14ac:dyDescent="0.25">
      <c r="B16" s="18" t="s">
        <v>177</v>
      </c>
      <c r="C16" s="4" t="s">
        <v>30</v>
      </c>
      <c r="D16" s="5">
        <v>12</v>
      </c>
      <c r="E16" s="11">
        <f>(745909+15000)*25%</f>
        <v>190227.25</v>
      </c>
      <c r="F16" s="11">
        <f t="shared" si="6"/>
        <v>289.99957314275173</v>
      </c>
      <c r="G16" s="11">
        <f t="shared" si="7"/>
        <v>2282727</v>
      </c>
      <c r="H16" s="12">
        <f t="shared" si="8"/>
        <v>3479.9948777130207</v>
      </c>
      <c r="I16" s="229"/>
      <c r="J16" s="12">
        <f>H16/2</f>
        <v>1739.9974388565104</v>
      </c>
      <c r="K16" s="12">
        <f>H16/2</f>
        <v>1739.9974388565104</v>
      </c>
      <c r="L16" s="58"/>
    </row>
    <row r="17" spans="2:13" x14ac:dyDescent="0.25">
      <c r="B17" s="18" t="s">
        <v>178</v>
      </c>
      <c r="C17" s="6" t="s">
        <v>30</v>
      </c>
      <c r="D17" s="2">
        <v>12</v>
      </c>
      <c r="E17" s="9">
        <f>(1026547+15000)*15%</f>
        <v>156232.04999999999</v>
      </c>
      <c r="F17" s="9">
        <f t="shared" si="6"/>
        <v>238.17422483485959</v>
      </c>
      <c r="G17" s="9">
        <f t="shared" si="7"/>
        <v>1874784.5999999999</v>
      </c>
      <c r="H17" s="10">
        <f t="shared" si="8"/>
        <v>2858.0906980183149</v>
      </c>
      <c r="I17" s="229"/>
      <c r="J17" s="12">
        <f t="shared" ref="J17:J22" si="11">H17/2</f>
        <v>1429.0453490091575</v>
      </c>
      <c r="K17" s="12">
        <f t="shared" ref="K17:K22" si="12">H17/2</f>
        <v>1429.0453490091575</v>
      </c>
      <c r="L17" s="58"/>
    </row>
    <row r="18" spans="2:13" x14ac:dyDescent="0.25">
      <c r="B18" s="18" t="s">
        <v>179</v>
      </c>
      <c r="C18" s="6" t="s">
        <v>30</v>
      </c>
      <c r="D18" s="2">
        <v>12</v>
      </c>
      <c r="E18" s="9">
        <f>(1103088+15000)*10%</f>
        <v>111808.8</v>
      </c>
      <c r="F18" s="9">
        <f t="shared" si="6"/>
        <v>170.4514167849417</v>
      </c>
      <c r="G18" s="9">
        <f t="shared" si="7"/>
        <v>1341705.6000000001</v>
      </c>
      <c r="H18" s="10">
        <f t="shared" si="8"/>
        <v>2045.4170014193005</v>
      </c>
      <c r="I18" s="229"/>
      <c r="J18" s="12">
        <f t="shared" si="11"/>
        <v>1022.7085007096503</v>
      </c>
      <c r="K18" s="12">
        <f t="shared" si="12"/>
        <v>1022.7085007096503</v>
      </c>
      <c r="L18" s="58"/>
    </row>
    <row r="19" spans="2:13" ht="22.5" x14ac:dyDescent="0.25">
      <c r="B19" s="19" t="s">
        <v>180</v>
      </c>
      <c r="C19" s="6" t="s">
        <v>30</v>
      </c>
      <c r="D19" s="2">
        <v>12</v>
      </c>
      <c r="E19" s="9">
        <f>(1026547+15000)*15%</f>
        <v>156232.04999999999</v>
      </c>
      <c r="F19" s="9">
        <f t="shared" si="6"/>
        <v>238.17422483485959</v>
      </c>
      <c r="G19" s="9">
        <f t="shared" si="7"/>
        <v>1874784.5999999999</v>
      </c>
      <c r="H19" s="10">
        <f t="shared" si="8"/>
        <v>2858.0906980183149</v>
      </c>
      <c r="I19" s="229"/>
      <c r="J19" s="12">
        <f t="shared" si="11"/>
        <v>1429.0453490091575</v>
      </c>
      <c r="K19" s="12">
        <f t="shared" si="12"/>
        <v>1429.0453490091575</v>
      </c>
      <c r="L19" s="58"/>
      <c r="M19" s="275"/>
    </row>
    <row r="20" spans="2:13" x14ac:dyDescent="0.25">
      <c r="B20" s="19" t="s">
        <v>181</v>
      </c>
      <c r="C20" s="6" t="s">
        <v>30</v>
      </c>
      <c r="D20" s="2">
        <v>12</v>
      </c>
      <c r="E20" s="9">
        <f>(1026547+15000)*50%</f>
        <v>520773.5</v>
      </c>
      <c r="F20" s="9">
        <f t="shared" si="6"/>
        <v>793.91408278286531</v>
      </c>
      <c r="G20" s="9">
        <f t="shared" si="7"/>
        <v>6249282</v>
      </c>
      <c r="H20" s="10">
        <f t="shared" si="8"/>
        <v>9526.9689933943846</v>
      </c>
      <c r="I20" s="229"/>
      <c r="J20" s="12">
        <f t="shared" si="11"/>
        <v>4763.4844966971923</v>
      </c>
      <c r="K20" s="12">
        <f t="shared" si="12"/>
        <v>4763.4844966971923</v>
      </c>
      <c r="L20" s="58"/>
      <c r="M20" s="275"/>
    </row>
    <row r="21" spans="2:13" x14ac:dyDescent="0.25">
      <c r="B21" s="18" t="s">
        <v>182</v>
      </c>
      <c r="C21" s="6" t="s">
        <v>30</v>
      </c>
      <c r="D21" s="2">
        <v>12</v>
      </c>
      <c r="E21" s="9">
        <f>(935873+15000)*50%</f>
        <v>475436.5</v>
      </c>
      <c r="F21" s="9">
        <f t="shared" si="6"/>
        <v>724.79827183794055</v>
      </c>
      <c r="G21" s="9">
        <f t="shared" si="7"/>
        <v>5705238</v>
      </c>
      <c r="H21" s="10">
        <f t="shared" si="8"/>
        <v>8697.5792620552875</v>
      </c>
      <c r="I21" s="229"/>
      <c r="J21" s="12">
        <f t="shared" si="11"/>
        <v>4348.7896310276437</v>
      </c>
      <c r="K21" s="12">
        <f t="shared" si="12"/>
        <v>4348.7896310276437</v>
      </c>
      <c r="L21" s="58"/>
    </row>
    <row r="22" spans="2:13" x14ac:dyDescent="0.25">
      <c r="B22" s="18" t="s">
        <v>183</v>
      </c>
      <c r="C22" s="6" t="s">
        <v>30</v>
      </c>
      <c r="D22" s="2">
        <v>24</v>
      </c>
      <c r="E22" s="9">
        <f>1000*60</f>
        <v>60000</v>
      </c>
      <c r="F22" s="9">
        <f t="shared" si="6"/>
        <v>91.469410342446224</v>
      </c>
      <c r="G22" s="9">
        <f>D22*E22</f>
        <v>1440000</v>
      </c>
      <c r="H22" s="10">
        <f t="shared" si="8"/>
        <v>2195.2658482187094</v>
      </c>
      <c r="I22" s="229"/>
      <c r="J22" s="12">
        <f t="shared" si="11"/>
        <v>1097.6329241093547</v>
      </c>
      <c r="K22" s="12">
        <f t="shared" si="12"/>
        <v>1097.6329241093547</v>
      </c>
      <c r="L22" s="58"/>
    </row>
    <row r="23" spans="2:13" x14ac:dyDescent="0.25">
      <c r="B23" s="207" t="s">
        <v>184</v>
      </c>
      <c r="C23" s="207"/>
      <c r="D23" s="207"/>
      <c r="E23" s="207"/>
      <c r="F23" s="207"/>
      <c r="G23" s="207">
        <f>SUM(G24:G25)</f>
        <v>24926366</v>
      </c>
      <c r="H23" s="207">
        <f>SUM(H24:H25)</f>
        <v>38000</v>
      </c>
      <c r="I23" s="226"/>
      <c r="J23" s="221">
        <f>SUM(J24:J25)</f>
        <v>19000</v>
      </c>
      <c r="K23" s="221">
        <f t="shared" ref="K23:L23" si="13">SUM(K24:K25)</f>
        <v>19000</v>
      </c>
      <c r="L23" s="225">
        <f t="shared" si="13"/>
        <v>0</v>
      </c>
      <c r="M23" s="246"/>
    </row>
    <row r="24" spans="2:13" x14ac:dyDescent="0.25">
      <c r="B24" s="18" t="s">
        <v>185</v>
      </c>
      <c r="C24" s="6" t="s">
        <v>30</v>
      </c>
      <c r="D24" s="21">
        <v>5</v>
      </c>
      <c r="E24" s="9">
        <f>F24*L1</f>
        <v>4263720.5</v>
      </c>
      <c r="F24" s="22">
        <v>6500</v>
      </c>
      <c r="G24" s="22">
        <f t="shared" ref="G24:G25" si="14">D24*E24</f>
        <v>21318602.5</v>
      </c>
      <c r="H24" s="22">
        <f>D24*F24</f>
        <v>32500</v>
      </c>
      <c r="I24" s="226"/>
      <c r="J24" s="10">
        <f>H24/2</f>
        <v>16250</v>
      </c>
      <c r="K24" s="10">
        <f>H24/2</f>
        <v>16250</v>
      </c>
      <c r="L24" s="59"/>
      <c r="M24" s="17"/>
    </row>
    <row r="25" spans="2:13" ht="15.75" thickBot="1" x14ac:dyDescent="0.3">
      <c r="B25" s="89" t="s">
        <v>49</v>
      </c>
      <c r="C25" s="60" t="s">
        <v>30</v>
      </c>
      <c r="D25" s="67">
        <v>1</v>
      </c>
      <c r="E25" s="55">
        <f>F25*L1</f>
        <v>3607763.5</v>
      </c>
      <c r="F25" s="61">
        <v>5500</v>
      </c>
      <c r="G25" s="61">
        <f t="shared" si="14"/>
        <v>3607763.5</v>
      </c>
      <c r="H25" s="61">
        <f>D25*F25</f>
        <v>5500</v>
      </c>
      <c r="I25" s="226"/>
      <c r="J25" s="62">
        <f>H25/2</f>
        <v>2750</v>
      </c>
      <c r="K25" s="62">
        <f>H25/2</f>
        <v>2750</v>
      </c>
      <c r="L25" s="63"/>
      <c r="M25" s="17"/>
    </row>
    <row r="26" spans="2:13" ht="15.75" x14ac:dyDescent="0.25">
      <c r="B26" s="205" t="s">
        <v>53</v>
      </c>
      <c r="C26" s="205"/>
      <c r="D26" s="205"/>
      <c r="E26" s="205"/>
      <c r="F26" s="205"/>
      <c r="G26" s="205">
        <f>SUM(G27+G32+G35+G40+G43+G45)</f>
        <v>37729140</v>
      </c>
      <c r="H26" s="205">
        <f>SUM(H27+H32+H35+H40+H43+H45)</f>
        <v>57517.703142126702</v>
      </c>
      <c r="I26" s="230">
        <f>H26/$H$74</f>
        <v>8.7515511042680447E-2</v>
      </c>
      <c r="J26" s="215">
        <f>SUM(J27+J32+J35+J40+J43+J45)</f>
        <v>28072.830993495001</v>
      </c>
      <c r="K26" s="205">
        <f t="shared" ref="K26:L26" si="15">SUM(K27+K32+K35+K40+K43+K45)</f>
        <v>29444.872148631694</v>
      </c>
      <c r="L26" s="205">
        <f t="shared" si="15"/>
        <v>0</v>
      </c>
    </row>
    <row r="27" spans="2:13" x14ac:dyDescent="0.25">
      <c r="B27" s="207" t="s">
        <v>186</v>
      </c>
      <c r="C27" s="207"/>
      <c r="D27" s="207"/>
      <c r="E27" s="207"/>
      <c r="F27" s="207"/>
      <c r="G27" s="207">
        <f>SUM(G28:G31)</f>
        <v>12970000</v>
      </c>
      <c r="H27" s="207">
        <f>SUM(H28:H31)</f>
        <v>19772.637535692127</v>
      </c>
      <c r="I27" s="226"/>
      <c r="J27" s="221">
        <f>SUM(J28:J31)</f>
        <v>9886.3187678460636</v>
      </c>
      <c r="K27" s="221">
        <f t="shared" ref="K27:L27" si="16">SUM(K28:K31)</f>
        <v>9886.3187678460636</v>
      </c>
      <c r="L27" s="221">
        <f t="shared" si="16"/>
        <v>0</v>
      </c>
    </row>
    <row r="28" spans="2:13" x14ac:dyDescent="0.25">
      <c r="B28" s="18" t="s">
        <v>187</v>
      </c>
      <c r="C28" s="20" t="s">
        <v>30</v>
      </c>
      <c r="D28" s="21">
        <v>21</v>
      </c>
      <c r="E28" s="22">
        <v>120000</v>
      </c>
      <c r="F28" s="22">
        <f>E28/$L$1</f>
        <v>182.93882068489245</v>
      </c>
      <c r="G28" s="22">
        <f>D28*E28</f>
        <v>2520000</v>
      </c>
      <c r="H28" s="22">
        <f>G28/$L$1</f>
        <v>3841.7152343827415</v>
      </c>
      <c r="I28" s="226"/>
      <c r="J28" s="22">
        <f>H28/2</f>
        <v>1920.8576171913708</v>
      </c>
      <c r="K28" s="22">
        <f>H28/2</f>
        <v>1920.8576171913708</v>
      </c>
      <c r="L28" s="31"/>
    </row>
    <row r="29" spans="2:13" x14ac:dyDescent="0.25">
      <c r="B29" s="18" t="s">
        <v>188</v>
      </c>
      <c r="C29" s="20" t="s">
        <v>30</v>
      </c>
      <c r="D29" s="21">
        <v>6</v>
      </c>
      <c r="E29" s="22">
        <v>45000</v>
      </c>
      <c r="F29" s="22">
        <f>E29/$L$1</f>
        <v>68.602057756834668</v>
      </c>
      <c r="G29" s="22">
        <f>D29*E29</f>
        <v>270000</v>
      </c>
      <c r="H29" s="22">
        <f>G29/$L$1</f>
        <v>411.61234654100804</v>
      </c>
      <c r="I29" s="226"/>
      <c r="J29" s="22">
        <f t="shared" ref="J29:J31" si="17">H29/2</f>
        <v>205.80617327050402</v>
      </c>
      <c r="K29" s="22">
        <f t="shared" ref="K29:K31" si="18">H29/2</f>
        <v>205.80617327050402</v>
      </c>
      <c r="L29" s="31"/>
    </row>
    <row r="30" spans="2:13" x14ac:dyDescent="0.25">
      <c r="B30" s="18" t="s">
        <v>189</v>
      </c>
      <c r="C30" s="20" t="s">
        <v>30</v>
      </c>
      <c r="D30" s="21">
        <v>6</v>
      </c>
      <c r="E30" s="22">
        <v>30000</v>
      </c>
      <c r="F30" s="22">
        <f>E30/$L$1</f>
        <v>45.734705171223112</v>
      </c>
      <c r="G30" s="22">
        <f>D30*E30</f>
        <v>180000</v>
      </c>
      <c r="H30" s="22">
        <f>G30/$L$1</f>
        <v>274.40823102733867</v>
      </c>
      <c r="I30" s="226"/>
      <c r="J30" s="22">
        <f t="shared" si="17"/>
        <v>137.20411551366934</v>
      </c>
      <c r="K30" s="22">
        <f t="shared" si="18"/>
        <v>137.20411551366934</v>
      </c>
      <c r="L30" s="31"/>
    </row>
    <row r="31" spans="2:13" x14ac:dyDescent="0.25">
      <c r="B31" s="18" t="s">
        <v>190</v>
      </c>
      <c r="C31" s="20" t="s">
        <v>30</v>
      </c>
      <c r="D31" s="21">
        <f>10*20</f>
        <v>200</v>
      </c>
      <c r="E31" s="22">
        <v>50000</v>
      </c>
      <c r="F31" s="22">
        <f>E31/$L$1</f>
        <v>76.224508618705187</v>
      </c>
      <c r="G31" s="22">
        <f t="shared" ref="G31" si="19">D31*E31</f>
        <v>10000000</v>
      </c>
      <c r="H31" s="22">
        <f>G31/$L$1</f>
        <v>15244.901723741039</v>
      </c>
      <c r="I31" s="226"/>
      <c r="J31" s="22">
        <f t="shared" si="17"/>
        <v>7622.4508618705195</v>
      </c>
      <c r="K31" s="22">
        <f t="shared" si="18"/>
        <v>7622.4508618705195</v>
      </c>
      <c r="L31" s="31"/>
    </row>
    <row r="32" spans="2:13" x14ac:dyDescent="0.25">
      <c r="B32" s="207" t="s">
        <v>191</v>
      </c>
      <c r="C32" s="207"/>
      <c r="D32" s="207"/>
      <c r="E32" s="207"/>
      <c r="F32" s="207"/>
      <c r="G32" s="207">
        <f>SUM(G33:G34)</f>
        <v>4775742</v>
      </c>
      <c r="H32" s="207">
        <f>SUM(H33:H34)</f>
        <v>7280.571744794247</v>
      </c>
      <c r="I32" s="226"/>
      <c r="J32" s="221">
        <f>SUM(J33:J34)</f>
        <v>3640.2858723971235</v>
      </c>
      <c r="K32" s="221">
        <f t="shared" ref="K32:L32" si="20">SUM(K33:K34)</f>
        <v>3640.2858723971235</v>
      </c>
      <c r="L32" s="221">
        <f t="shared" si="20"/>
        <v>0</v>
      </c>
    </row>
    <row r="33" spans="2:13" x14ac:dyDescent="0.25">
      <c r="B33" s="18" t="s">
        <v>192</v>
      </c>
      <c r="C33" s="23" t="s">
        <v>193</v>
      </c>
      <c r="D33" s="24">
        <v>4</v>
      </c>
      <c r="E33" s="25">
        <v>210000</v>
      </c>
      <c r="F33" s="22">
        <f>E33/$L$1</f>
        <v>320.14293619856181</v>
      </c>
      <c r="G33" s="22">
        <f>D33*E33</f>
        <v>840000</v>
      </c>
      <c r="H33" s="22">
        <f>G33/$L$1</f>
        <v>1280.5717447942473</v>
      </c>
      <c r="I33" s="226"/>
      <c r="J33" s="22">
        <f>H33/2</f>
        <v>640.28587239712363</v>
      </c>
      <c r="K33" s="22">
        <f>H33/2</f>
        <v>640.28587239712363</v>
      </c>
      <c r="L33" s="31"/>
    </row>
    <row r="34" spans="2:13" x14ac:dyDescent="0.25">
      <c r="B34" s="18" t="s">
        <v>68</v>
      </c>
      <c r="C34" s="23" t="s">
        <v>193</v>
      </c>
      <c r="D34" s="24">
        <v>3</v>
      </c>
      <c r="E34" s="25">
        <f>F34*L1</f>
        <v>1311914</v>
      </c>
      <c r="F34" s="22">
        <v>2000</v>
      </c>
      <c r="G34" s="22">
        <f>D34*E34</f>
        <v>3935742</v>
      </c>
      <c r="H34" s="22">
        <f>F34*D34</f>
        <v>6000</v>
      </c>
      <c r="I34" s="226"/>
      <c r="J34" s="22">
        <f>H34/2</f>
        <v>3000</v>
      </c>
      <c r="K34" s="22">
        <f>H34/2</f>
        <v>3000</v>
      </c>
      <c r="L34" s="31"/>
    </row>
    <row r="35" spans="2:13" x14ac:dyDescent="0.25">
      <c r="B35" s="207" t="s">
        <v>69</v>
      </c>
      <c r="C35" s="207"/>
      <c r="D35" s="207"/>
      <c r="E35" s="207"/>
      <c r="F35" s="207"/>
      <c r="G35" s="207">
        <f>SUM(G36:G39)</f>
        <v>5760000</v>
      </c>
      <c r="H35" s="207">
        <f>SUM(H36:H39)</f>
        <v>8781.0633928748375</v>
      </c>
      <c r="I35" s="226"/>
      <c r="J35" s="221">
        <f>SUM(J36:J39)</f>
        <v>3704.5111188690721</v>
      </c>
      <c r="K35" s="221">
        <f t="shared" ref="K35:L35" si="21">SUM(K36:K39)</f>
        <v>5076.5522740057659</v>
      </c>
      <c r="L35" s="221">
        <f t="shared" si="21"/>
        <v>0</v>
      </c>
    </row>
    <row r="36" spans="2:13" x14ac:dyDescent="0.25">
      <c r="B36" s="18" t="s">
        <v>194</v>
      </c>
      <c r="C36" s="20" t="s">
        <v>30</v>
      </c>
      <c r="D36" s="21">
        <v>21</v>
      </c>
      <c r="E36" s="22">
        <v>60000</v>
      </c>
      <c r="F36" s="22">
        <f>E36/$L$1</f>
        <v>91.469410342446224</v>
      </c>
      <c r="G36" s="22">
        <f t="shared" ref="G36:G42" si="22">D36*E36</f>
        <v>1260000</v>
      </c>
      <c r="H36" s="22">
        <f>G36/$L$1</f>
        <v>1920.8576171913708</v>
      </c>
      <c r="I36" s="226"/>
      <c r="J36" s="22">
        <f>H36/2</f>
        <v>960.42880859568538</v>
      </c>
      <c r="K36" s="22">
        <f>H36/2</f>
        <v>960.42880859568538</v>
      </c>
      <c r="L36" s="31"/>
      <c r="M36" s="275"/>
    </row>
    <row r="37" spans="2:13" x14ac:dyDescent="0.25">
      <c r="B37" s="18" t="s">
        <v>195</v>
      </c>
      <c r="C37" s="20" t="s">
        <v>30</v>
      </c>
      <c r="D37" s="21">
        <v>12</v>
      </c>
      <c r="E37" s="22">
        <v>50000</v>
      </c>
      <c r="F37" s="22">
        <f>E37/$L$1</f>
        <v>76.224508618705187</v>
      </c>
      <c r="G37" s="22">
        <f t="shared" si="22"/>
        <v>600000</v>
      </c>
      <c r="H37" s="22">
        <f>G37/$L$1</f>
        <v>914.69410342446224</v>
      </c>
      <c r="I37" s="226"/>
      <c r="J37" s="22">
        <f t="shared" ref="J37:J38" si="23">H37/2</f>
        <v>457.34705171223112</v>
      </c>
      <c r="K37" s="22">
        <f t="shared" ref="K37:K38" si="24">H37/2</f>
        <v>457.34705171223112</v>
      </c>
      <c r="L37" s="31"/>
      <c r="M37" s="275"/>
    </row>
    <row r="38" spans="2:13" x14ac:dyDescent="0.25">
      <c r="B38" s="18" t="s">
        <v>196</v>
      </c>
      <c r="C38" s="20" t="s">
        <v>165</v>
      </c>
      <c r="D38" s="21">
        <v>2</v>
      </c>
      <c r="E38" s="22">
        <v>1500000</v>
      </c>
      <c r="F38" s="22">
        <f>E38/$L$1</f>
        <v>2286.7352585611557</v>
      </c>
      <c r="G38" s="22">
        <f t="shared" si="22"/>
        <v>3000000</v>
      </c>
      <c r="H38" s="22">
        <f>G38/$L$1</f>
        <v>4573.4705171223113</v>
      </c>
      <c r="I38" s="226"/>
      <c r="J38" s="22">
        <f t="shared" si="23"/>
        <v>2286.7352585611557</v>
      </c>
      <c r="K38" s="22">
        <f t="shared" si="24"/>
        <v>2286.7352585611557</v>
      </c>
      <c r="L38" s="31"/>
    </row>
    <row r="39" spans="2:13" x14ac:dyDescent="0.25">
      <c r="B39" s="18" t="s">
        <v>197</v>
      </c>
      <c r="C39" s="23" t="s">
        <v>165</v>
      </c>
      <c r="D39" s="26">
        <v>20</v>
      </c>
      <c r="E39" s="27">
        <v>45000</v>
      </c>
      <c r="F39" s="28">
        <f>E39/$L$1</f>
        <v>68.602057756834668</v>
      </c>
      <c r="G39" s="28">
        <f t="shared" si="22"/>
        <v>900000</v>
      </c>
      <c r="H39" s="28">
        <f>G39/$L$1</f>
        <v>1372.0411551366935</v>
      </c>
      <c r="I39" s="226"/>
      <c r="J39" s="22">
        <v>0</v>
      </c>
      <c r="K39" s="22">
        <f>H39</f>
        <v>1372.0411551366935</v>
      </c>
      <c r="L39" s="29"/>
      <c r="M39" s="261"/>
    </row>
    <row r="40" spans="2:13" x14ac:dyDescent="0.25">
      <c r="B40" s="207" t="s">
        <v>198</v>
      </c>
      <c r="C40" s="207"/>
      <c r="D40" s="207"/>
      <c r="E40" s="207"/>
      <c r="F40" s="207"/>
      <c r="G40" s="207">
        <f>SUM(G41:G42)</f>
        <v>3600000</v>
      </c>
      <c r="H40" s="207">
        <f>SUM(H41:H42)</f>
        <v>5488.1646205467732</v>
      </c>
      <c r="I40" s="226"/>
      <c r="J40" s="221">
        <f>SUM(J41:J42)</f>
        <v>2744.0823102733866</v>
      </c>
      <c r="K40" s="221">
        <f t="shared" ref="K40:L40" si="25">SUM(K41:K42)</f>
        <v>2744.0823102733866</v>
      </c>
      <c r="L40" s="221">
        <f t="shared" si="25"/>
        <v>0</v>
      </c>
    </row>
    <row r="41" spans="2:13" x14ac:dyDescent="0.25">
      <c r="B41" s="18" t="s">
        <v>199</v>
      </c>
      <c r="C41" s="20" t="s">
        <v>30</v>
      </c>
      <c r="D41" s="21">
        <v>24</v>
      </c>
      <c r="E41" s="22">
        <v>50000</v>
      </c>
      <c r="F41" s="22">
        <f>E41/$L$1</f>
        <v>76.224508618705187</v>
      </c>
      <c r="G41" s="22">
        <f t="shared" si="22"/>
        <v>1200000</v>
      </c>
      <c r="H41" s="22">
        <f>G41/$L$1</f>
        <v>1829.3882068489245</v>
      </c>
      <c r="I41" s="226"/>
      <c r="J41" s="22">
        <f>H41/2</f>
        <v>914.69410342446224</v>
      </c>
      <c r="K41" s="22">
        <f>H41/2</f>
        <v>914.69410342446224</v>
      </c>
      <c r="L41" s="31"/>
      <c r="M41" s="275"/>
    </row>
    <row r="42" spans="2:13" x14ac:dyDescent="0.25">
      <c r="B42" s="18" t="s">
        <v>200</v>
      </c>
      <c r="C42" s="20" t="s">
        <v>165</v>
      </c>
      <c r="D42" s="21">
        <f>24*4</f>
        <v>96</v>
      </c>
      <c r="E42" s="22">
        <v>25000</v>
      </c>
      <c r="F42" s="22">
        <f>E42/$L$1</f>
        <v>38.112254309352593</v>
      </c>
      <c r="G42" s="22">
        <f t="shared" si="22"/>
        <v>2400000</v>
      </c>
      <c r="H42" s="22">
        <f>G42/$L$1</f>
        <v>3658.776413697849</v>
      </c>
      <c r="I42" s="226"/>
      <c r="J42" s="22">
        <f>H42/2</f>
        <v>1829.3882068489245</v>
      </c>
      <c r="K42" s="22">
        <f>H42/2</f>
        <v>1829.3882068489245</v>
      </c>
      <c r="L42" s="31"/>
      <c r="M42" s="275"/>
    </row>
    <row r="43" spans="2:13" x14ac:dyDescent="0.25">
      <c r="B43" s="207" t="s">
        <v>78</v>
      </c>
      <c r="C43" s="207"/>
      <c r="D43" s="207"/>
      <c r="E43" s="207"/>
      <c r="F43" s="207"/>
      <c r="G43" s="207">
        <f>SUM(G44)</f>
        <v>1440000</v>
      </c>
      <c r="H43" s="207">
        <f>SUM(H44)</f>
        <v>2195.2658482187094</v>
      </c>
      <c r="I43" s="226"/>
      <c r="J43" s="221">
        <f>SUM(J44)</f>
        <v>1097.6329241093547</v>
      </c>
      <c r="K43" s="221">
        <f t="shared" ref="K43:L43" si="26">SUM(K44)</f>
        <v>1097.6329241093547</v>
      </c>
      <c r="L43" s="221">
        <f t="shared" si="26"/>
        <v>0</v>
      </c>
    </row>
    <row r="44" spans="2:13" ht="22.5" x14ac:dyDescent="0.25">
      <c r="B44" s="18" t="s">
        <v>201</v>
      </c>
      <c r="C44" s="20" t="s">
        <v>165</v>
      </c>
      <c r="D44" s="21">
        <v>24</v>
      </c>
      <c r="E44" s="22">
        <v>60000</v>
      </c>
      <c r="F44" s="22">
        <f>E44/$L$1</f>
        <v>91.469410342446224</v>
      </c>
      <c r="G44" s="22">
        <f>D44*E44</f>
        <v>1440000</v>
      </c>
      <c r="H44" s="22">
        <f>G44/$L$1</f>
        <v>2195.2658482187094</v>
      </c>
      <c r="I44" s="226"/>
      <c r="J44" s="22">
        <f>H44/2</f>
        <v>1097.6329241093547</v>
      </c>
      <c r="K44" s="22">
        <f>H44/2</f>
        <v>1097.6329241093547</v>
      </c>
      <c r="L44" s="31"/>
      <c r="M44" s="275"/>
    </row>
    <row r="45" spans="2:13" x14ac:dyDescent="0.25">
      <c r="B45" s="207" t="s">
        <v>80</v>
      </c>
      <c r="C45" s="207"/>
      <c r="D45" s="207"/>
      <c r="E45" s="207"/>
      <c r="F45" s="207"/>
      <c r="G45" s="207">
        <f>SUM(G46:G47)</f>
        <v>9183398</v>
      </c>
      <c r="H45" s="207">
        <f>SUM(H46:H47)</f>
        <v>14000</v>
      </c>
      <c r="I45" s="226"/>
      <c r="J45" s="221">
        <f>SUM(J46:J47)</f>
        <v>7000</v>
      </c>
      <c r="K45" s="221">
        <f>SUM(K46:K47)</f>
        <v>7000</v>
      </c>
      <c r="L45" s="221">
        <f>SUM(L46:L47)</f>
        <v>0</v>
      </c>
    </row>
    <row r="46" spans="2:13" x14ac:dyDescent="0.25">
      <c r="B46" s="18" t="s">
        <v>81</v>
      </c>
      <c r="C46" s="20" t="s">
        <v>165</v>
      </c>
      <c r="D46" s="29">
        <v>1</v>
      </c>
      <c r="E46" s="28">
        <f>7000*655.957</f>
        <v>4591699</v>
      </c>
      <c r="F46" s="22">
        <v>6000</v>
      </c>
      <c r="G46" s="28">
        <f>D46*E46</f>
        <v>4591699</v>
      </c>
      <c r="H46" s="22">
        <f>G46/$L$1</f>
        <v>7000</v>
      </c>
      <c r="I46" s="226"/>
      <c r="J46" s="22">
        <f>H46/2</f>
        <v>3500</v>
      </c>
      <c r="K46" s="22">
        <f>H46/2</f>
        <v>3500</v>
      </c>
      <c r="L46" s="3"/>
    </row>
    <row r="47" spans="2:13" ht="15.75" thickBot="1" x14ac:dyDescent="0.3">
      <c r="B47" s="40" t="s">
        <v>202</v>
      </c>
      <c r="C47" s="33" t="s">
        <v>165</v>
      </c>
      <c r="D47" s="34">
        <v>1</v>
      </c>
      <c r="E47" s="28">
        <f>7000*655.957</f>
        <v>4591699</v>
      </c>
      <c r="F47" s="35">
        <v>6000</v>
      </c>
      <c r="G47" s="28">
        <f>D47*E47</f>
        <v>4591699</v>
      </c>
      <c r="H47" s="35">
        <f t="shared" ref="H47" si="27">G47/$L$1</f>
        <v>7000</v>
      </c>
      <c r="I47" s="226"/>
      <c r="J47" s="35">
        <f t="shared" ref="J47" si="28">H47/2</f>
        <v>3500</v>
      </c>
      <c r="K47" s="35">
        <f t="shared" ref="K47" si="29">H47/2</f>
        <v>3500</v>
      </c>
      <c r="L47" s="279"/>
      <c r="M47" s="16"/>
    </row>
    <row r="48" spans="2:13" ht="15.75" x14ac:dyDescent="0.25">
      <c r="B48" s="205" t="s">
        <v>83</v>
      </c>
      <c r="C48" s="205"/>
      <c r="D48" s="205"/>
      <c r="E48" s="205"/>
      <c r="F48" s="205"/>
      <c r="G48" s="205">
        <f>G49+G62 +G66</f>
        <v>265343484.5</v>
      </c>
      <c r="H48" s="205">
        <f>H49+H62+H66</f>
        <v>404513.5344237503</v>
      </c>
      <c r="I48" s="230">
        <f>H48/$H$74</f>
        <v>0.61548369901521882</v>
      </c>
      <c r="J48" s="215">
        <f>J49+J62+J66</f>
        <v>353213.88254108123</v>
      </c>
      <c r="K48" s="205">
        <f>K49+K62+K66</f>
        <v>51299.651882669132</v>
      </c>
      <c r="L48" s="205">
        <f>L49+L62+L66</f>
        <v>0</v>
      </c>
    </row>
    <row r="49" spans="2:15" ht="87" customHeight="1" x14ac:dyDescent="0.25">
      <c r="B49" s="218" t="s">
        <v>203</v>
      </c>
      <c r="C49" s="207"/>
      <c r="D49" s="207"/>
      <c r="E49" s="207"/>
      <c r="F49" s="207"/>
      <c r="G49" s="207">
        <f>SUM(G50:G61)</f>
        <v>218682323</v>
      </c>
      <c r="H49" s="207">
        <f>SUM(H50:H61)</f>
        <v>333379.05228543945</v>
      </c>
      <c r="I49" s="226"/>
      <c r="J49" s="221">
        <f>SUM(J50:J61)</f>
        <v>333379.05228543945</v>
      </c>
      <c r="K49" s="221">
        <f>SUM(K50:K58)</f>
        <v>0</v>
      </c>
      <c r="L49" s="225">
        <f>SUM(L50:L58)</f>
        <v>0</v>
      </c>
      <c r="M49" s="262"/>
    </row>
    <row r="50" spans="2:15" ht="22.5" x14ac:dyDescent="0.25">
      <c r="B50" s="18" t="s">
        <v>204</v>
      </c>
      <c r="C50" s="20" t="s">
        <v>205</v>
      </c>
      <c r="D50" s="21">
        <f>4</f>
        <v>4</v>
      </c>
      <c r="E50" s="22">
        <v>650000</v>
      </c>
      <c r="F50" s="22">
        <f>E50/$L$1</f>
        <v>990.91861204316751</v>
      </c>
      <c r="G50" s="22">
        <f>D50*E50</f>
        <v>2600000</v>
      </c>
      <c r="H50" s="30">
        <f>G50/$L$1</f>
        <v>3963.6744481726701</v>
      </c>
      <c r="I50" s="229"/>
      <c r="J50" s="38">
        <f>H50</f>
        <v>3963.6744481726701</v>
      </c>
      <c r="K50" s="21"/>
      <c r="L50" s="64"/>
    </row>
    <row r="51" spans="2:15" ht="22.5" x14ac:dyDescent="0.25">
      <c r="B51" s="18" t="s">
        <v>206</v>
      </c>
      <c r="C51" s="20" t="s">
        <v>207</v>
      </c>
      <c r="D51" s="21">
        <v>1</v>
      </c>
      <c r="E51" s="22">
        <v>3500000</v>
      </c>
      <c r="F51" s="22">
        <f t="shared" ref="F51:F61" si="30">E51/$L$1</f>
        <v>5335.7156033093634</v>
      </c>
      <c r="G51" s="22">
        <f>D51*E51</f>
        <v>3500000</v>
      </c>
      <c r="H51" s="30">
        <f t="shared" ref="H51:H58" si="31">G51/$L$1</f>
        <v>5335.7156033093634</v>
      </c>
      <c r="I51" s="229"/>
      <c r="J51" s="38">
        <f t="shared" ref="J51:J61" si="32">H51</f>
        <v>5335.7156033093634</v>
      </c>
      <c r="K51" s="31"/>
      <c r="L51" s="64"/>
      <c r="O51" s="8"/>
    </row>
    <row r="52" spans="2:15" x14ac:dyDescent="0.25">
      <c r="B52" s="18" t="s">
        <v>208</v>
      </c>
      <c r="C52" s="20" t="s">
        <v>165</v>
      </c>
      <c r="D52" s="21">
        <v>1</v>
      </c>
      <c r="E52" s="22">
        <v>1500000</v>
      </c>
      <c r="F52" s="22">
        <f t="shared" si="30"/>
        <v>2286.7352585611557</v>
      </c>
      <c r="G52" s="22">
        <f>D52*E52</f>
        <v>1500000</v>
      </c>
      <c r="H52" s="30">
        <f t="shared" si="31"/>
        <v>2286.7352585611557</v>
      </c>
      <c r="I52" s="229"/>
      <c r="J52" s="38">
        <f t="shared" si="32"/>
        <v>2286.7352585611557</v>
      </c>
      <c r="K52" s="31"/>
      <c r="L52" s="64"/>
      <c r="O52" s="8"/>
    </row>
    <row r="53" spans="2:15" x14ac:dyDescent="0.25">
      <c r="B53" s="32" t="s">
        <v>209</v>
      </c>
      <c r="C53" s="20">
        <v>2</v>
      </c>
      <c r="D53" s="21">
        <v>500</v>
      </c>
      <c r="E53" s="22">
        <v>75000</v>
      </c>
      <c r="F53" s="22">
        <f t="shared" si="30"/>
        <v>114.33676292805778</v>
      </c>
      <c r="G53" s="22">
        <f>D53*E53*C53</f>
        <v>75000000</v>
      </c>
      <c r="H53" s="22">
        <f t="shared" si="31"/>
        <v>114336.76292805778</v>
      </c>
      <c r="I53" s="226"/>
      <c r="J53" s="38">
        <f t="shared" si="32"/>
        <v>114336.76292805778</v>
      </c>
      <c r="K53" s="31"/>
      <c r="L53" s="64"/>
    </row>
    <row r="54" spans="2:15" x14ac:dyDescent="0.25">
      <c r="B54" s="18" t="s">
        <v>210</v>
      </c>
      <c r="C54" s="20">
        <v>2</v>
      </c>
      <c r="D54" s="21">
        <v>500</v>
      </c>
      <c r="E54" s="22">
        <v>75000</v>
      </c>
      <c r="F54" s="22">
        <f t="shared" si="30"/>
        <v>114.33676292805778</v>
      </c>
      <c r="G54" s="22">
        <f>D54*E54*C54</f>
        <v>75000000</v>
      </c>
      <c r="H54" s="22">
        <f t="shared" si="31"/>
        <v>114336.76292805778</v>
      </c>
      <c r="I54" s="226"/>
      <c r="J54" s="38">
        <f t="shared" si="32"/>
        <v>114336.76292805778</v>
      </c>
      <c r="K54" s="31"/>
      <c r="L54" s="64"/>
    </row>
    <row r="55" spans="2:15" ht="22.5" x14ac:dyDescent="0.25">
      <c r="B55" s="40" t="s">
        <v>211</v>
      </c>
      <c r="C55" s="33" t="s">
        <v>165</v>
      </c>
      <c r="D55" s="34">
        <f>4*500</f>
        <v>2000</v>
      </c>
      <c r="E55" s="35">
        <f>3500+500</f>
        <v>4000</v>
      </c>
      <c r="F55" s="35">
        <f>E55/$L$1</f>
        <v>6.0979606894964151</v>
      </c>
      <c r="G55" s="35">
        <f>D55*E55</f>
        <v>8000000</v>
      </c>
      <c r="H55" s="22">
        <f>G55/$L$1</f>
        <v>12195.921378992831</v>
      </c>
      <c r="I55" s="226"/>
      <c r="J55" s="38">
        <f t="shared" si="32"/>
        <v>12195.921378992831</v>
      </c>
      <c r="K55" s="36"/>
      <c r="L55" s="65"/>
      <c r="M55" s="246"/>
    </row>
    <row r="56" spans="2:15" x14ac:dyDescent="0.25">
      <c r="B56" s="18" t="s">
        <v>212</v>
      </c>
      <c r="C56" s="20" t="s">
        <v>207</v>
      </c>
      <c r="D56" s="21">
        <v>4</v>
      </c>
      <c r="E56" s="22">
        <v>1500000</v>
      </c>
      <c r="F56" s="22">
        <f t="shared" si="30"/>
        <v>2286.7352585611557</v>
      </c>
      <c r="G56" s="22">
        <f>D56*E56</f>
        <v>6000000</v>
      </c>
      <c r="H56" s="22">
        <f t="shared" si="31"/>
        <v>9146.9410342446226</v>
      </c>
      <c r="I56" s="226"/>
      <c r="J56" s="38">
        <f t="shared" si="32"/>
        <v>9146.9410342446226</v>
      </c>
      <c r="K56" s="31"/>
      <c r="L56" s="64"/>
      <c r="M56" s="246"/>
    </row>
    <row r="57" spans="2:15" x14ac:dyDescent="0.25">
      <c r="B57" s="18" t="s">
        <v>213</v>
      </c>
      <c r="C57" s="23" t="s">
        <v>156</v>
      </c>
      <c r="D57" s="24">
        <v>4</v>
      </c>
      <c r="E57" s="25">
        <v>5000000</v>
      </c>
      <c r="F57" s="28">
        <f>E57/$L$1</f>
        <v>7622.4508618705195</v>
      </c>
      <c r="G57" s="22">
        <f>D57*E57</f>
        <v>20000000</v>
      </c>
      <c r="H57" s="22">
        <f>G57/$L$1</f>
        <v>30489.803447482078</v>
      </c>
      <c r="I57" s="226"/>
      <c r="J57" s="38">
        <f>H57</f>
        <v>30489.803447482078</v>
      </c>
      <c r="K57" s="31"/>
      <c r="L57" s="64"/>
      <c r="M57" s="246"/>
    </row>
    <row r="58" spans="2:15" x14ac:dyDescent="0.25">
      <c r="B58" s="18" t="s">
        <v>214</v>
      </c>
      <c r="C58" s="20" t="s">
        <v>165</v>
      </c>
      <c r="D58" s="21">
        <v>1</v>
      </c>
      <c r="E58" s="22">
        <v>1500000</v>
      </c>
      <c r="F58" s="22">
        <f t="shared" si="30"/>
        <v>2286.7352585611557</v>
      </c>
      <c r="G58" s="22">
        <f t="shared" ref="G58:G64" si="33">D58*E58</f>
        <v>1500000</v>
      </c>
      <c r="H58" s="22">
        <f t="shared" si="31"/>
        <v>2286.7352585611557</v>
      </c>
      <c r="I58" s="226"/>
      <c r="J58" s="38">
        <f t="shared" si="32"/>
        <v>2286.7352585611557</v>
      </c>
      <c r="K58" s="31"/>
      <c r="L58" s="64"/>
      <c r="M58" s="246"/>
    </row>
    <row r="59" spans="2:15" x14ac:dyDescent="0.25">
      <c r="B59" s="18" t="s">
        <v>215</v>
      </c>
      <c r="C59" s="23" t="s">
        <v>165</v>
      </c>
      <c r="D59" s="24">
        <v>1</v>
      </c>
      <c r="E59" s="25">
        <f>10000*L1</f>
        <v>6559570</v>
      </c>
      <c r="F59" s="28">
        <f t="shared" si="30"/>
        <v>10000</v>
      </c>
      <c r="G59" s="22">
        <f>D59*E59</f>
        <v>6559570</v>
      </c>
      <c r="H59" s="22">
        <f t="shared" ref="H59:H61" si="34">G59/$L$1</f>
        <v>10000</v>
      </c>
      <c r="I59" s="226"/>
      <c r="J59" s="38">
        <f t="shared" si="32"/>
        <v>10000</v>
      </c>
      <c r="K59" s="31"/>
      <c r="L59" s="64"/>
      <c r="M59" s="246"/>
    </row>
    <row r="60" spans="2:15" x14ac:dyDescent="0.25">
      <c r="B60" s="18" t="s">
        <v>137</v>
      </c>
      <c r="C60" s="23" t="s">
        <v>15</v>
      </c>
      <c r="D60" s="24">
        <v>1</v>
      </c>
      <c r="E60" s="25">
        <v>12463183</v>
      </c>
      <c r="F60" s="28">
        <f t="shared" si="30"/>
        <v>19000</v>
      </c>
      <c r="G60" s="22">
        <f>D60*E60</f>
        <v>12463183</v>
      </c>
      <c r="H60" s="22">
        <f t="shared" si="34"/>
        <v>19000</v>
      </c>
      <c r="I60" s="226"/>
      <c r="J60" s="38">
        <f t="shared" si="32"/>
        <v>19000</v>
      </c>
      <c r="K60" s="31"/>
      <c r="L60" s="64"/>
      <c r="M60" s="246"/>
    </row>
    <row r="61" spans="2:15" x14ac:dyDescent="0.25">
      <c r="B61" s="18" t="s">
        <v>147</v>
      </c>
      <c r="C61" s="20" t="s">
        <v>15</v>
      </c>
      <c r="D61" s="245">
        <v>1</v>
      </c>
      <c r="E61" s="25">
        <v>6559570</v>
      </c>
      <c r="F61" s="28">
        <f t="shared" si="30"/>
        <v>10000</v>
      </c>
      <c r="G61" s="22">
        <f>D61*E61</f>
        <v>6559570</v>
      </c>
      <c r="H61" s="22">
        <f t="shared" si="34"/>
        <v>10000</v>
      </c>
      <c r="I61" s="226"/>
      <c r="J61" s="38">
        <f t="shared" si="32"/>
        <v>10000</v>
      </c>
      <c r="K61" s="31"/>
      <c r="L61" s="64"/>
      <c r="M61" s="246"/>
    </row>
    <row r="62" spans="2:15" ht="56.25" x14ac:dyDescent="0.25">
      <c r="B62" s="218" t="s">
        <v>216</v>
      </c>
      <c r="C62" s="219"/>
      <c r="D62" s="220"/>
      <c r="E62" s="221"/>
      <c r="F62" s="221"/>
      <c r="G62" s="221">
        <f>SUM(G63:G65)</f>
        <v>20639570</v>
      </c>
      <c r="H62" s="221">
        <f>SUM(H63:H65)</f>
        <v>31464.821627027381</v>
      </c>
      <c r="I62" s="226"/>
      <c r="J62" s="221">
        <f t="shared" ref="J62:L62" si="35">SUM(J63:J65)</f>
        <v>0</v>
      </c>
      <c r="K62" s="221">
        <f t="shared" si="35"/>
        <v>31464.821627027381</v>
      </c>
      <c r="L62" s="225">
        <f t="shared" si="35"/>
        <v>0</v>
      </c>
      <c r="M62" s="17"/>
    </row>
    <row r="63" spans="2:15" ht="45" x14ac:dyDescent="0.25">
      <c r="B63" s="18" t="s">
        <v>217</v>
      </c>
      <c r="C63" s="20" t="s">
        <v>205</v>
      </c>
      <c r="D63" s="21">
        <v>16</v>
      </c>
      <c r="E63" s="22">
        <v>550000</v>
      </c>
      <c r="F63" s="22">
        <f>E63/$L$1</f>
        <v>838.46959480575708</v>
      </c>
      <c r="G63" s="22">
        <f t="shared" si="33"/>
        <v>8800000</v>
      </c>
      <c r="H63" s="22">
        <f>G63/$L$1</f>
        <v>13415.513516892113</v>
      </c>
      <c r="I63" s="226"/>
      <c r="J63" s="31"/>
      <c r="K63" s="39">
        <f>H63</f>
        <v>13415.513516892113</v>
      </c>
      <c r="L63" s="64"/>
    </row>
    <row r="64" spans="2:15" ht="33.75" x14ac:dyDescent="0.25">
      <c r="B64" s="18" t="s">
        <v>218</v>
      </c>
      <c r="C64" s="23" t="s">
        <v>219</v>
      </c>
      <c r="D64" s="24">
        <f>22*4*20</f>
        <v>1760</v>
      </c>
      <c r="E64" s="25">
        <v>3000</v>
      </c>
      <c r="F64" s="28">
        <f>E64/$L$1</f>
        <v>4.5734705171223116</v>
      </c>
      <c r="G64" s="22">
        <f t="shared" si="33"/>
        <v>5280000</v>
      </c>
      <c r="H64" s="22">
        <f>G64/$L$1</f>
        <v>8049.3081101352682</v>
      </c>
      <c r="I64" s="226"/>
      <c r="J64" s="31"/>
      <c r="K64" s="39">
        <f t="shared" ref="K64:K65" si="36">H64</f>
        <v>8049.3081101352682</v>
      </c>
      <c r="L64" s="64"/>
    </row>
    <row r="65" spans="2:14" ht="33.75" x14ac:dyDescent="0.25">
      <c r="B65" s="18" t="s">
        <v>220</v>
      </c>
      <c r="C65" s="20" t="s">
        <v>165</v>
      </c>
      <c r="D65" s="259">
        <v>1</v>
      </c>
      <c r="E65" s="22">
        <f>H65*L1</f>
        <v>6559570</v>
      </c>
      <c r="F65" s="22">
        <v>15000</v>
      </c>
      <c r="G65" s="22">
        <f>E65</f>
        <v>6559570</v>
      </c>
      <c r="H65" s="22">
        <v>10000</v>
      </c>
      <c r="I65" s="226"/>
      <c r="J65" s="7"/>
      <c r="K65" s="39">
        <f t="shared" si="36"/>
        <v>10000</v>
      </c>
      <c r="L65" s="66"/>
      <c r="M65" s="275"/>
    </row>
    <row r="66" spans="2:14" x14ac:dyDescent="0.25">
      <c r="B66" s="218" t="s">
        <v>221</v>
      </c>
      <c r="C66" s="222"/>
      <c r="D66" s="223"/>
      <c r="E66" s="224"/>
      <c r="F66" s="221"/>
      <c r="G66" s="221">
        <f>SUM(G67:G72)</f>
        <v>26021591.5</v>
      </c>
      <c r="H66" s="221">
        <f>SUM(H67:H72)</f>
        <v>39669.66051128351</v>
      </c>
      <c r="I66" s="226"/>
      <c r="J66" s="221">
        <f>SUM(J67:J72)</f>
        <v>19834.830255641755</v>
      </c>
      <c r="K66" s="221">
        <f>SUM(K67:K72)</f>
        <v>19834.830255641755</v>
      </c>
      <c r="L66" s="225">
        <f>SUM(L67:L72)</f>
        <v>0</v>
      </c>
      <c r="M66" s="276"/>
    </row>
    <row r="67" spans="2:14" x14ac:dyDescent="0.25">
      <c r="B67" s="18" t="s">
        <v>222</v>
      </c>
      <c r="C67" s="23" t="s">
        <v>193</v>
      </c>
      <c r="D67" s="24">
        <v>21</v>
      </c>
      <c r="E67" s="25">
        <v>150000</v>
      </c>
      <c r="F67" s="22">
        <f t="shared" ref="F67:F72" si="37">E67/$L$1</f>
        <v>228.67352585611556</v>
      </c>
      <c r="G67" s="22">
        <f t="shared" ref="G67:G72" si="38">D67*E67</f>
        <v>3150000</v>
      </c>
      <c r="H67" s="22">
        <f t="shared" ref="H67:H72" si="39">G67/$L$1</f>
        <v>4802.144042978427</v>
      </c>
      <c r="I67" s="226"/>
      <c r="J67" s="22">
        <f>H67/2</f>
        <v>2401.0720214892135</v>
      </c>
      <c r="K67" s="22">
        <f>H67/2</f>
        <v>2401.0720214892135</v>
      </c>
      <c r="L67" s="59"/>
      <c r="M67" s="275"/>
    </row>
    <row r="68" spans="2:14" x14ac:dyDescent="0.25">
      <c r="B68" s="18" t="s">
        <v>223</v>
      </c>
      <c r="C68" s="23" t="s">
        <v>193</v>
      </c>
      <c r="D68" s="24">
        <v>20</v>
      </c>
      <c r="E68" s="25">
        <v>150000</v>
      </c>
      <c r="F68" s="22">
        <f t="shared" si="37"/>
        <v>228.67352585611556</v>
      </c>
      <c r="G68" s="22">
        <f t="shared" si="38"/>
        <v>3000000</v>
      </c>
      <c r="H68" s="22">
        <f t="shared" si="39"/>
        <v>4573.4705171223113</v>
      </c>
      <c r="I68" s="226"/>
      <c r="J68" s="22">
        <f t="shared" ref="J68:J72" si="40">H68/2</f>
        <v>2286.7352585611557</v>
      </c>
      <c r="K68" s="22">
        <f t="shared" ref="K68:K72" si="41">H68/2</f>
        <v>2286.7352585611557</v>
      </c>
      <c r="L68" s="58"/>
      <c r="M68" s="275"/>
    </row>
    <row r="69" spans="2:14" ht="22.5" x14ac:dyDescent="0.25">
      <c r="B69" s="18" t="s">
        <v>224</v>
      </c>
      <c r="C69" s="23" t="s">
        <v>193</v>
      </c>
      <c r="D69" s="24">
        <v>20</v>
      </c>
      <c r="E69" s="25">
        <v>350000</v>
      </c>
      <c r="F69" s="22">
        <f t="shared" si="37"/>
        <v>533.57156033093634</v>
      </c>
      <c r="G69" s="22">
        <f t="shared" si="38"/>
        <v>7000000</v>
      </c>
      <c r="H69" s="22">
        <f t="shared" si="39"/>
        <v>10671.431206618727</v>
      </c>
      <c r="I69" s="226"/>
      <c r="J69" s="22">
        <f t="shared" si="40"/>
        <v>5335.7156033093634</v>
      </c>
      <c r="K69" s="22">
        <f t="shared" si="41"/>
        <v>5335.7156033093634</v>
      </c>
      <c r="L69" s="58"/>
      <c r="M69" s="275"/>
    </row>
    <row r="70" spans="2:14" x14ac:dyDescent="0.25">
      <c r="B70" s="18" t="s">
        <v>225</v>
      </c>
      <c r="C70" s="23" t="s">
        <v>165</v>
      </c>
      <c r="D70" s="24">
        <v>8</v>
      </c>
      <c r="E70" s="25">
        <v>280000</v>
      </c>
      <c r="F70" s="22">
        <f t="shared" si="37"/>
        <v>426.85724826474905</v>
      </c>
      <c r="G70" s="22">
        <f t="shared" si="38"/>
        <v>2240000</v>
      </c>
      <c r="H70" s="22">
        <f t="shared" si="39"/>
        <v>3414.8579861179924</v>
      </c>
      <c r="I70" s="226"/>
      <c r="J70" s="22">
        <f t="shared" si="40"/>
        <v>1707.4289930589962</v>
      </c>
      <c r="K70" s="22">
        <f t="shared" si="41"/>
        <v>1707.4289930589962</v>
      </c>
      <c r="L70" s="58"/>
      <c r="M70" s="275"/>
    </row>
    <row r="71" spans="2:14" x14ac:dyDescent="0.25">
      <c r="B71" s="18" t="s">
        <v>226</v>
      </c>
      <c r="C71" s="23" t="s">
        <v>156</v>
      </c>
      <c r="D71" s="24">
        <v>2</v>
      </c>
      <c r="E71" s="25">
        <v>2200000</v>
      </c>
      <c r="F71" s="22">
        <f t="shared" si="37"/>
        <v>3353.8783792230283</v>
      </c>
      <c r="G71" s="22">
        <f t="shared" si="38"/>
        <v>4400000</v>
      </c>
      <c r="H71" s="22">
        <f t="shared" si="39"/>
        <v>6707.7567584460567</v>
      </c>
      <c r="I71" s="226"/>
      <c r="J71" s="22">
        <f t="shared" si="40"/>
        <v>3353.8783792230283</v>
      </c>
      <c r="K71" s="22">
        <f t="shared" si="41"/>
        <v>3353.8783792230283</v>
      </c>
      <c r="L71" s="64"/>
      <c r="M71" s="17"/>
    </row>
    <row r="72" spans="2:14" x14ac:dyDescent="0.25">
      <c r="B72" s="18" t="s">
        <v>146</v>
      </c>
      <c r="C72" s="23" t="s">
        <v>156</v>
      </c>
      <c r="D72" s="24">
        <v>1</v>
      </c>
      <c r="E72" s="25">
        <f>9500*L1</f>
        <v>6231591.5</v>
      </c>
      <c r="F72" s="22">
        <f t="shared" si="37"/>
        <v>9500</v>
      </c>
      <c r="G72" s="22">
        <f t="shared" si="38"/>
        <v>6231591.5</v>
      </c>
      <c r="H72" s="22">
        <f t="shared" si="39"/>
        <v>9500</v>
      </c>
      <c r="I72" s="226"/>
      <c r="J72" s="22">
        <f t="shared" si="40"/>
        <v>4750</v>
      </c>
      <c r="K72" s="22">
        <f t="shared" si="41"/>
        <v>4750</v>
      </c>
      <c r="L72" s="64"/>
      <c r="M72" s="17"/>
    </row>
    <row r="73" spans="2:14" x14ac:dyDescent="0.25">
      <c r="B73" s="69"/>
      <c r="C73" s="13"/>
      <c r="D73" s="13"/>
      <c r="E73" s="14"/>
      <c r="F73" s="14"/>
      <c r="G73" s="14"/>
      <c r="H73" s="71"/>
      <c r="I73" s="227"/>
      <c r="J73" s="72" t="s">
        <v>10</v>
      </c>
      <c r="K73" s="72" t="s">
        <v>11</v>
      </c>
      <c r="L73" s="73"/>
    </row>
    <row r="74" spans="2:14" x14ac:dyDescent="0.25">
      <c r="B74" s="70" t="s">
        <v>150</v>
      </c>
      <c r="C74" s="13"/>
      <c r="D74" s="13"/>
      <c r="E74" s="14"/>
      <c r="F74" s="14"/>
      <c r="G74" s="14"/>
      <c r="H74" s="71">
        <f>SUM(H3+H6+H26+H48)</f>
        <v>657228.67245871294</v>
      </c>
      <c r="I74" s="227"/>
      <c r="J74" s="71">
        <f>SUM(J3+J6+J26+J48)</f>
        <v>478885.43098099425</v>
      </c>
      <c r="K74" s="71">
        <f>SUM(K3+K6+K26+K48)</f>
        <v>178343.24147771881</v>
      </c>
      <c r="L74" s="71">
        <f>SUM(L3+L6+L26+L48)</f>
        <v>0</v>
      </c>
    </row>
    <row r="75" spans="2:14" x14ac:dyDescent="0.25">
      <c r="B75" s="70" t="s">
        <v>151</v>
      </c>
      <c r="C75" s="15"/>
      <c r="D75" s="15"/>
      <c r="E75" s="15"/>
      <c r="F75" s="15"/>
      <c r="G75" s="15"/>
      <c r="H75" s="71">
        <f>H74*0.055</f>
        <v>36147.576985229214</v>
      </c>
      <c r="I75" s="227"/>
      <c r="J75" s="68"/>
      <c r="K75" s="68"/>
      <c r="L75" s="68"/>
    </row>
    <row r="76" spans="2:14" x14ac:dyDescent="0.25">
      <c r="B76" s="70" t="s">
        <v>152</v>
      </c>
      <c r="C76" s="15"/>
      <c r="D76" s="15"/>
      <c r="E76" s="15"/>
      <c r="F76" s="15"/>
      <c r="G76" s="15"/>
      <c r="H76" s="71">
        <f>SUM(H74:H75)</f>
        <v>693376.24944394222</v>
      </c>
      <c r="I76" s="227"/>
      <c r="J76" s="68"/>
      <c r="K76" s="68"/>
      <c r="L76" s="68"/>
      <c r="M76" s="277"/>
      <c r="N76" s="278"/>
    </row>
    <row r="77" spans="2:14" x14ac:dyDescent="0.25">
      <c r="M77" s="287"/>
    </row>
    <row r="78" spans="2:14" x14ac:dyDescent="0.25">
      <c r="J78" s="217"/>
      <c r="K78" s="217"/>
      <c r="L78" s="217"/>
    </row>
    <row r="79" spans="2:14" x14ac:dyDescent="0.25">
      <c r="D79" s="260"/>
      <c r="E79" s="260"/>
      <c r="F79" s="260"/>
      <c r="G79" s="260"/>
      <c r="J79" s="217"/>
      <c r="K79" s="217"/>
      <c r="L79" s="217"/>
      <c r="M79" s="41"/>
    </row>
    <row r="80" spans="2:14" x14ac:dyDescent="0.25">
      <c r="D80" s="260"/>
      <c r="E80" s="261"/>
      <c r="F80" s="260"/>
      <c r="G80" s="260"/>
      <c r="J80" s="217"/>
      <c r="K80" s="217"/>
      <c r="L80" s="217"/>
      <c r="M80" s="41"/>
    </row>
    <row r="81" spans="4:13" x14ac:dyDescent="0.25">
      <c r="D81" s="260"/>
      <c r="E81" s="261"/>
      <c r="F81" s="260"/>
      <c r="G81" s="260"/>
      <c r="J81" s="217"/>
      <c r="K81" s="217"/>
      <c r="L81" s="217"/>
      <c r="M81" s="41"/>
    </row>
    <row r="82" spans="4:13" x14ac:dyDescent="0.25">
      <c r="D82" s="260"/>
      <c r="E82" s="260"/>
      <c r="F82" s="260"/>
      <c r="G82" s="260"/>
      <c r="J82" s="217"/>
      <c r="K82" s="217"/>
      <c r="L82" s="217"/>
      <c r="M82" s="41"/>
    </row>
    <row r="83" spans="4:13" x14ac:dyDescent="0.25">
      <c r="J83" s="217"/>
      <c r="K83" s="217"/>
      <c r="L83" s="217"/>
    </row>
    <row r="84" spans="4:13" x14ac:dyDescent="0.25">
      <c r="J84" s="217"/>
      <c r="K84" s="217"/>
      <c r="L84" s="217"/>
    </row>
    <row r="85" spans="4:13" x14ac:dyDescent="0.25">
      <c r="J85" s="217"/>
      <c r="K85" s="217"/>
      <c r="L85" s="217"/>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L145"/>
  <sheetViews>
    <sheetView tabSelected="1" topLeftCell="A4" zoomScale="60" zoomScaleNormal="60" workbookViewId="0">
      <selection activeCell="L14" sqref="L14"/>
    </sheetView>
  </sheetViews>
  <sheetFormatPr baseColWidth="10" defaultColWidth="54.140625" defaultRowHeight="15" x14ac:dyDescent="0.25"/>
  <cols>
    <col min="1" max="1" width="54.140625" style="163"/>
    <col min="2" max="2" width="15.42578125" style="162" customWidth="1"/>
    <col min="3" max="3" width="18.5703125" style="163" customWidth="1"/>
    <col min="4" max="4" width="12.28515625" style="162" customWidth="1"/>
    <col min="5" max="5" width="20.85546875" style="163" customWidth="1"/>
    <col min="6" max="6" width="17.42578125" style="166" customWidth="1"/>
    <col min="7" max="7" width="23.28515625" style="166" customWidth="1"/>
    <col min="8" max="8" width="19.85546875" style="166" customWidth="1"/>
    <col min="9" max="9" width="14.28515625" style="167" customWidth="1"/>
    <col min="10" max="11" width="19" style="168" customWidth="1"/>
    <col min="12" max="16384" width="54.140625" style="163"/>
  </cols>
  <sheetData>
    <row r="1" spans="1:11" x14ac:dyDescent="0.25">
      <c r="A1" s="161"/>
      <c r="F1" s="164" t="s">
        <v>227</v>
      </c>
      <c r="G1" s="165">
        <v>655.95699999999999</v>
      </c>
    </row>
    <row r="2" spans="1:11" ht="34.5" thickBot="1" x14ac:dyDescent="0.3">
      <c r="A2" s="99" t="s">
        <v>228</v>
      </c>
      <c r="B2" s="289"/>
      <c r="C2" s="289"/>
      <c r="D2" s="289"/>
      <c r="E2" s="289"/>
      <c r="F2" s="289"/>
      <c r="G2" s="289"/>
      <c r="H2" s="289"/>
    </row>
    <row r="3" spans="1:11" ht="42.75" customHeight="1" thickBot="1" x14ac:dyDescent="0.3">
      <c r="A3" s="100" t="s">
        <v>1</v>
      </c>
      <c r="B3" s="101" t="s">
        <v>229</v>
      </c>
      <c r="C3" s="101" t="s">
        <v>156</v>
      </c>
      <c r="D3" s="101" t="s">
        <v>157</v>
      </c>
      <c r="E3" s="101" t="s">
        <v>156</v>
      </c>
      <c r="F3" s="101" t="s">
        <v>230</v>
      </c>
      <c r="G3" s="101" t="s">
        <v>231</v>
      </c>
      <c r="H3" s="102" t="s">
        <v>232</v>
      </c>
      <c r="I3" s="169"/>
      <c r="J3" s="100" t="s">
        <v>233</v>
      </c>
      <c r="K3" s="102" t="s">
        <v>234</v>
      </c>
    </row>
    <row r="4" spans="1:11" s="173" customFormat="1" ht="20.25" x14ac:dyDescent="0.25">
      <c r="A4" s="103" t="s">
        <v>235</v>
      </c>
      <c r="B4" s="105"/>
      <c r="C4" s="104"/>
      <c r="D4" s="105"/>
      <c r="E4" s="104"/>
      <c r="F4" s="106"/>
      <c r="G4" s="106">
        <f>SUM(G5,G10)</f>
        <v>94400000</v>
      </c>
      <c r="H4" s="170">
        <f>+G4/$G$1</f>
        <v>143911.8722721154</v>
      </c>
      <c r="I4" s="171">
        <f>H4/$H$137</f>
        <v>0.14880092627567787</v>
      </c>
      <c r="J4" s="172">
        <f>SUM(J5,J10)</f>
        <v>104097.27060361172</v>
      </c>
      <c r="K4" s="170">
        <f>SUM(K5,K10)</f>
        <v>39814.601668503674</v>
      </c>
    </row>
    <row r="5" spans="1:11" s="177" customFormat="1" ht="18" x14ac:dyDescent="0.25">
      <c r="A5" s="107" t="s">
        <v>236</v>
      </c>
      <c r="B5" s="109"/>
      <c r="C5" s="108"/>
      <c r="D5" s="109"/>
      <c r="E5" s="108"/>
      <c r="F5" s="110"/>
      <c r="G5" s="110">
        <f>SUM(G6)</f>
        <v>45000000</v>
      </c>
      <c r="H5" s="174">
        <f>+G5/$G$1</f>
        <v>68602.057756834678</v>
      </c>
      <c r="I5" s="175"/>
      <c r="J5" s="176">
        <f>SUM(J6)</f>
        <v>64790.832325899413</v>
      </c>
      <c r="K5" s="174">
        <f>SUM(K6)</f>
        <v>3811.2254309352597</v>
      </c>
    </row>
    <row r="6" spans="1:11" ht="15.75" x14ac:dyDescent="0.25">
      <c r="A6" s="111" t="s">
        <v>237</v>
      </c>
      <c r="B6" s="178"/>
      <c r="C6" s="112"/>
      <c r="D6" s="178"/>
      <c r="E6" s="112"/>
      <c r="F6" s="179"/>
      <c r="G6" s="113">
        <f>SUBTOTAL(9,G7:G9)</f>
        <v>45000000</v>
      </c>
      <c r="H6" s="114">
        <f>+G6/$G$1</f>
        <v>68602.057756834678</v>
      </c>
      <c r="I6" s="171"/>
      <c r="J6" s="115">
        <f>SUBTOTAL(9,J7:J9)</f>
        <v>64790.832325899413</v>
      </c>
      <c r="K6" s="116">
        <f>SUBTOTAL(9,K7:K9)</f>
        <v>3811.2254309352597</v>
      </c>
    </row>
    <row r="7" spans="1:11" ht="15.75" x14ac:dyDescent="0.25">
      <c r="A7" s="117" t="s">
        <v>238</v>
      </c>
      <c r="B7" s="119">
        <v>1</v>
      </c>
      <c r="C7" s="118" t="s">
        <v>15</v>
      </c>
      <c r="D7" s="119">
        <v>1</v>
      </c>
      <c r="E7" s="118" t="s">
        <v>239</v>
      </c>
      <c r="F7" s="120">
        <v>20000000</v>
      </c>
      <c r="G7" s="121">
        <f>+F7*D7*B7</f>
        <v>20000000</v>
      </c>
      <c r="H7" s="123">
        <f t="shared" ref="H7:H32" si="0">+G7/$G$1</f>
        <v>30489.803447482078</v>
      </c>
      <c r="I7" s="171"/>
      <c r="J7" s="122">
        <f>H7</f>
        <v>30489.803447482078</v>
      </c>
      <c r="K7" s="123"/>
    </row>
    <row r="8" spans="1:11" ht="30" x14ac:dyDescent="0.25">
      <c r="A8" s="117" t="s">
        <v>240</v>
      </c>
      <c r="B8" s="119">
        <v>1</v>
      </c>
      <c r="C8" s="118" t="s">
        <v>15</v>
      </c>
      <c r="D8" s="119">
        <v>5</v>
      </c>
      <c r="E8" s="118" t="s">
        <v>241</v>
      </c>
      <c r="F8" s="120">
        <v>4000000</v>
      </c>
      <c r="G8" s="121">
        <f>+F8*D8*B8</f>
        <v>20000000</v>
      </c>
      <c r="H8" s="123">
        <f>+G8/$G$1</f>
        <v>30489.803447482078</v>
      </c>
      <c r="I8" s="171"/>
      <c r="J8" s="122">
        <f>H8</f>
        <v>30489.803447482078</v>
      </c>
      <c r="K8" s="123"/>
    </row>
    <row r="9" spans="1:11" ht="30" x14ac:dyDescent="0.25">
      <c r="A9" s="124" t="s">
        <v>242</v>
      </c>
      <c r="B9" s="126">
        <v>1</v>
      </c>
      <c r="C9" s="127" t="s">
        <v>15</v>
      </c>
      <c r="D9" s="126">
        <v>1</v>
      </c>
      <c r="E9" s="125" t="s">
        <v>16</v>
      </c>
      <c r="F9" s="121">
        <v>5000000</v>
      </c>
      <c r="G9" s="121">
        <f>+F9*D9*B9</f>
        <v>5000000</v>
      </c>
      <c r="H9" s="123">
        <f t="shared" si="0"/>
        <v>7622.4508618705195</v>
      </c>
      <c r="I9" s="171"/>
      <c r="J9" s="122">
        <f>$H9/2</f>
        <v>3811.2254309352597</v>
      </c>
      <c r="K9" s="123">
        <f>$H9/2</f>
        <v>3811.2254309352597</v>
      </c>
    </row>
    <row r="10" spans="1:11" s="177" customFormat="1" ht="18" x14ac:dyDescent="0.25">
      <c r="A10" s="107" t="s">
        <v>243</v>
      </c>
      <c r="B10" s="109"/>
      <c r="C10" s="108"/>
      <c r="D10" s="109"/>
      <c r="E10" s="108"/>
      <c r="F10" s="110"/>
      <c r="G10" s="110">
        <f>SUM(G11,G15,G20)</f>
        <v>49400000</v>
      </c>
      <c r="H10" s="174">
        <f>+G10/$G$1</f>
        <v>75309.814515280726</v>
      </c>
      <c r="I10" s="175"/>
      <c r="J10" s="176">
        <f>SUM(J11,J15,J20)</f>
        <v>39306.438277712303</v>
      </c>
      <c r="K10" s="174">
        <f>SUM(K11,K15,K20)</f>
        <v>36003.376237568416</v>
      </c>
    </row>
    <row r="11" spans="1:11" ht="15.75" x14ac:dyDescent="0.25">
      <c r="A11" s="111" t="s">
        <v>244</v>
      </c>
      <c r="B11" s="178"/>
      <c r="C11" s="112"/>
      <c r="D11" s="178"/>
      <c r="E11" s="112"/>
      <c r="F11" s="179"/>
      <c r="G11" s="113">
        <f>SUBTOTAL(9,G12:G14)</f>
        <v>38250000</v>
      </c>
      <c r="H11" s="114">
        <f t="shared" si="0"/>
        <v>58311.749093309474</v>
      </c>
      <c r="I11" s="171"/>
      <c r="J11" s="115">
        <f>SUBTOTAL(9,J12:J14)</f>
        <v>30489.803447482074</v>
      </c>
      <c r="K11" s="116">
        <f>SUBTOTAL(9,K12:K14)</f>
        <v>27821.945645827393</v>
      </c>
    </row>
    <row r="12" spans="1:11" ht="15.75" x14ac:dyDescent="0.25">
      <c r="A12" s="128" t="s">
        <v>245</v>
      </c>
      <c r="B12" s="126">
        <v>1</v>
      </c>
      <c r="C12" s="125" t="s">
        <v>15</v>
      </c>
      <c r="D12" s="126">
        <v>1</v>
      </c>
      <c r="E12" s="125" t="s">
        <v>246</v>
      </c>
      <c r="F12" s="121">
        <v>23500000</v>
      </c>
      <c r="G12" s="121">
        <f>+F12*D12*B12</f>
        <v>23500000</v>
      </c>
      <c r="H12" s="123">
        <f t="shared" si="0"/>
        <v>35825.519050791438</v>
      </c>
      <c r="I12" s="171"/>
      <c r="J12" s="122">
        <f>$H12/2</f>
        <v>17912.759525395719</v>
      </c>
      <c r="K12" s="123">
        <f>$H12/2</f>
        <v>17912.759525395719</v>
      </c>
    </row>
    <row r="13" spans="1:11" ht="15.75" x14ac:dyDescent="0.25">
      <c r="A13" s="128" t="s">
        <v>247</v>
      </c>
      <c r="B13" s="126">
        <v>1</v>
      </c>
      <c r="C13" s="125" t="s">
        <v>15</v>
      </c>
      <c r="D13" s="126">
        <v>1</v>
      </c>
      <c r="E13" s="125" t="s">
        <v>248</v>
      </c>
      <c r="F13" s="121">
        <v>2500000</v>
      </c>
      <c r="G13" s="121">
        <f>+F13*D13*B13</f>
        <v>2500000</v>
      </c>
      <c r="H13" s="123">
        <f t="shared" si="0"/>
        <v>3811.2254309352597</v>
      </c>
      <c r="I13" s="171"/>
      <c r="J13" s="122">
        <f>$H13/2</f>
        <v>1905.6127154676299</v>
      </c>
      <c r="K13" s="123">
        <f>$H13/2</f>
        <v>1905.6127154676299</v>
      </c>
    </row>
    <row r="14" spans="1:11" ht="15.75" x14ac:dyDescent="0.25">
      <c r="A14" s="124" t="s">
        <v>249</v>
      </c>
      <c r="B14" s="126">
        <v>1</v>
      </c>
      <c r="C14" s="125" t="s">
        <v>15</v>
      </c>
      <c r="D14" s="126">
        <v>7</v>
      </c>
      <c r="E14" s="125" t="s">
        <v>250</v>
      </c>
      <c r="F14" s="121">
        <v>1750000</v>
      </c>
      <c r="G14" s="121">
        <f>+F14*D14*B14</f>
        <v>12250000</v>
      </c>
      <c r="H14" s="123">
        <f t="shared" si="0"/>
        <v>18675.004611582772</v>
      </c>
      <c r="I14" s="171"/>
      <c r="J14" s="122">
        <f>($H14/7)*4</f>
        <v>10671.431206618727</v>
      </c>
      <c r="K14" s="123">
        <f>($H14/7)*3</f>
        <v>8003.573404964045</v>
      </c>
    </row>
    <row r="15" spans="1:11" ht="15.75" x14ac:dyDescent="0.25">
      <c r="A15" s="111" t="s">
        <v>251</v>
      </c>
      <c r="B15" s="178"/>
      <c r="C15" s="112"/>
      <c r="D15" s="178"/>
      <c r="E15" s="112"/>
      <c r="F15" s="179"/>
      <c r="G15" s="113">
        <f>SUBTOTAL(9,G16:G19)</f>
        <v>5800000</v>
      </c>
      <c r="H15" s="114">
        <f>+G15/$G$1</f>
        <v>8842.0429997698029</v>
      </c>
      <c r="I15" s="171"/>
      <c r="J15" s="115">
        <f>SUBTOTAL(9,J16:J19)</f>
        <v>4421.0214998849005</v>
      </c>
      <c r="K15" s="116">
        <f>SUBTOTAL(9,K16:K19)</f>
        <v>4421.0214998849005</v>
      </c>
    </row>
    <row r="16" spans="1:11" ht="15.75" x14ac:dyDescent="0.25">
      <c r="A16" s="129" t="s">
        <v>252</v>
      </c>
      <c r="B16" s="126">
        <v>1</v>
      </c>
      <c r="C16" s="127" t="s">
        <v>15</v>
      </c>
      <c r="D16" s="126">
        <v>8</v>
      </c>
      <c r="E16" s="125" t="s">
        <v>252</v>
      </c>
      <c r="F16" s="121">
        <v>300000</v>
      </c>
      <c r="G16" s="121">
        <f>+F16*D16*B16</f>
        <v>2400000</v>
      </c>
      <c r="H16" s="123">
        <f t="shared" si="0"/>
        <v>3658.776413697849</v>
      </c>
      <c r="I16" s="171"/>
      <c r="J16" s="122">
        <f>$H16/2</f>
        <v>1829.3882068489245</v>
      </c>
      <c r="K16" s="123">
        <f>$H16/2</f>
        <v>1829.3882068489245</v>
      </c>
    </row>
    <row r="17" spans="1:12" ht="15.75" x14ac:dyDescent="0.25">
      <c r="A17" s="129" t="s">
        <v>253</v>
      </c>
      <c r="B17" s="126">
        <v>1</v>
      </c>
      <c r="C17" s="127" t="s">
        <v>15</v>
      </c>
      <c r="D17" s="126">
        <v>8</v>
      </c>
      <c r="E17" s="125" t="s">
        <v>253</v>
      </c>
      <c r="F17" s="121">
        <v>75000</v>
      </c>
      <c r="G17" s="121">
        <f>+F17*D17*B17</f>
        <v>600000</v>
      </c>
      <c r="H17" s="123">
        <f t="shared" si="0"/>
        <v>914.69410342446224</v>
      </c>
      <c r="I17" s="171"/>
      <c r="J17" s="122">
        <f>$H17/2</f>
        <v>457.34705171223112</v>
      </c>
      <c r="K17" s="123">
        <f>$H17/2</f>
        <v>457.34705171223112</v>
      </c>
    </row>
    <row r="18" spans="1:12" ht="15.75" x14ac:dyDescent="0.25">
      <c r="A18" s="129" t="s">
        <v>254</v>
      </c>
      <c r="B18" s="126">
        <v>1</v>
      </c>
      <c r="C18" s="127" t="s">
        <v>15</v>
      </c>
      <c r="D18" s="126">
        <v>2</v>
      </c>
      <c r="E18" s="125" t="s">
        <v>255</v>
      </c>
      <c r="F18" s="121">
        <v>650000</v>
      </c>
      <c r="G18" s="121">
        <f>+F18*D18*B18</f>
        <v>1300000</v>
      </c>
      <c r="H18" s="123">
        <f t="shared" si="0"/>
        <v>1981.837224086335</v>
      </c>
      <c r="I18" s="171"/>
      <c r="J18" s="122">
        <f t="shared" ref="J18:K19" si="1">$H18/2</f>
        <v>990.91861204316751</v>
      </c>
      <c r="K18" s="123">
        <f t="shared" si="1"/>
        <v>990.91861204316751</v>
      </c>
    </row>
    <row r="19" spans="1:12" ht="15.75" x14ac:dyDescent="0.25">
      <c r="A19" s="129" t="s">
        <v>256</v>
      </c>
      <c r="B19" s="126">
        <v>1</v>
      </c>
      <c r="C19" s="127" t="s">
        <v>15</v>
      </c>
      <c r="D19" s="126">
        <v>5</v>
      </c>
      <c r="E19" s="125" t="s">
        <v>255</v>
      </c>
      <c r="F19" s="121">
        <v>300000</v>
      </c>
      <c r="G19" s="121">
        <f>+F19*D19*B19</f>
        <v>1500000</v>
      </c>
      <c r="H19" s="123">
        <f t="shared" si="0"/>
        <v>2286.7352585611557</v>
      </c>
      <c r="I19" s="171"/>
      <c r="J19" s="122">
        <f t="shared" si="1"/>
        <v>1143.3676292805778</v>
      </c>
      <c r="K19" s="123">
        <f t="shared" si="1"/>
        <v>1143.3676292805778</v>
      </c>
    </row>
    <row r="20" spans="1:12" ht="15.75" x14ac:dyDescent="0.25">
      <c r="A20" s="111" t="s">
        <v>257</v>
      </c>
      <c r="B20" s="178"/>
      <c r="C20" s="112"/>
      <c r="D20" s="178"/>
      <c r="E20" s="112"/>
      <c r="F20" s="179"/>
      <c r="G20" s="113">
        <f>SUBTOTAL(9,G21:G23)</f>
        <v>5350000</v>
      </c>
      <c r="H20" s="114">
        <f t="shared" si="0"/>
        <v>8156.0224222014558</v>
      </c>
      <c r="I20" s="171"/>
      <c r="J20" s="115">
        <f>SUBTOTAL(9,J21:J23)</f>
        <v>4395.6133303453325</v>
      </c>
      <c r="K20" s="116">
        <f>SUBTOTAL(9,K21:K23)</f>
        <v>3760.4090918561224</v>
      </c>
    </row>
    <row r="21" spans="1:12" ht="32.25" customHeight="1" x14ac:dyDescent="0.25">
      <c r="A21" s="128" t="s">
        <v>21</v>
      </c>
      <c r="B21" s="126">
        <v>1</v>
      </c>
      <c r="C21" s="125" t="s">
        <v>15</v>
      </c>
      <c r="D21" s="126">
        <v>7</v>
      </c>
      <c r="E21" s="125" t="s">
        <v>258</v>
      </c>
      <c r="F21" s="121">
        <v>350000</v>
      </c>
      <c r="G21" s="121">
        <f>+F21*D21*B21</f>
        <v>2450000</v>
      </c>
      <c r="H21" s="123">
        <f t="shared" si="0"/>
        <v>3735.0009223165544</v>
      </c>
      <c r="I21" s="171"/>
      <c r="J21" s="122">
        <f>($H21/6)*4</f>
        <v>2490.0006148777029</v>
      </c>
      <c r="K21" s="123">
        <f>($H21/6)*2</f>
        <v>1245.0003074388515</v>
      </c>
    </row>
    <row r="22" spans="1:12" ht="15.75" x14ac:dyDescent="0.25">
      <c r="A22" s="128" t="s">
        <v>259</v>
      </c>
      <c r="B22" s="126">
        <v>1</v>
      </c>
      <c r="C22" s="125" t="s">
        <v>15</v>
      </c>
      <c r="D22" s="126">
        <v>2</v>
      </c>
      <c r="E22" s="125" t="s">
        <v>260</v>
      </c>
      <c r="F22" s="121">
        <v>450000</v>
      </c>
      <c r="G22" s="121">
        <f>+F22*D22*B22</f>
        <v>900000</v>
      </c>
      <c r="H22" s="123">
        <f>+G22/$G$1</f>
        <v>1372.0411551366935</v>
      </c>
      <c r="I22" s="171"/>
      <c r="J22" s="122">
        <f>$H22/2</f>
        <v>686.02057756834677</v>
      </c>
      <c r="K22" s="123">
        <f>$H22/2</f>
        <v>686.02057756834677</v>
      </c>
    </row>
    <row r="23" spans="1:12" ht="30" x14ac:dyDescent="0.25">
      <c r="A23" s="128" t="s">
        <v>261</v>
      </c>
      <c r="B23" s="126">
        <v>1</v>
      </c>
      <c r="C23" s="125" t="s">
        <v>15</v>
      </c>
      <c r="D23" s="126">
        <v>20</v>
      </c>
      <c r="E23" s="125" t="s">
        <v>262</v>
      </c>
      <c r="F23" s="121">
        <v>100000</v>
      </c>
      <c r="G23" s="121">
        <f>+F23*D23*B23</f>
        <v>2000000</v>
      </c>
      <c r="H23" s="123">
        <f t="shared" si="0"/>
        <v>3048.9803447482077</v>
      </c>
      <c r="I23" s="171"/>
      <c r="J23" s="122">
        <f>($H23/20)*8</f>
        <v>1219.592137899283</v>
      </c>
      <c r="K23" s="123">
        <f>($H23/20)*12</f>
        <v>1829.3882068489245</v>
      </c>
    </row>
    <row r="24" spans="1:12" s="173" customFormat="1" ht="20.25" x14ac:dyDescent="0.25">
      <c r="A24" s="130" t="s">
        <v>263</v>
      </c>
      <c r="B24" s="132"/>
      <c r="C24" s="131"/>
      <c r="D24" s="132"/>
      <c r="E24" s="131"/>
      <c r="F24" s="133"/>
      <c r="G24" s="133">
        <f>SUM(G25,G37,G41)</f>
        <v>140901895</v>
      </c>
      <c r="H24" s="180">
        <f>+G24/$G$1</f>
        <v>214803.55419638788</v>
      </c>
      <c r="I24" s="171">
        <f>H24/$H$137</f>
        <v>0.22210097976693119</v>
      </c>
      <c r="J24" s="181">
        <f>SUM(J25,J37,J41)</f>
        <v>145439.21705233728</v>
      </c>
      <c r="K24" s="180">
        <f>SUM(K25,K37,K41)</f>
        <v>69364.337144050602</v>
      </c>
      <c r="L24" s="163"/>
    </row>
    <row r="25" spans="1:12" s="177" customFormat="1" ht="18" x14ac:dyDescent="0.25">
      <c r="A25" s="107" t="s">
        <v>27</v>
      </c>
      <c r="B25" s="109"/>
      <c r="C25" s="108"/>
      <c r="D25" s="109"/>
      <c r="E25" s="108"/>
      <c r="F25" s="110"/>
      <c r="G25" s="110">
        <f>SUBTOTAL(9,G26:G36)</f>
        <v>58195375</v>
      </c>
      <c r="H25" s="174">
        <f>+G25/$G$1</f>
        <v>88718.277265125609</v>
      </c>
      <c r="I25" s="175"/>
      <c r="J25" s="176">
        <f>SUBTOTAL(9,J26:J36)</f>
        <v>46256.385708209535</v>
      </c>
      <c r="K25" s="174">
        <f>SUBTOTAL(9,K26:K36)</f>
        <v>42461.891556916082</v>
      </c>
    </row>
    <row r="26" spans="1:12" ht="30" x14ac:dyDescent="0.25">
      <c r="A26" s="124" t="s">
        <v>264</v>
      </c>
      <c r="B26" s="126">
        <v>1</v>
      </c>
      <c r="C26" s="126" t="s">
        <v>265</v>
      </c>
      <c r="D26" s="126">
        <v>15</v>
      </c>
      <c r="E26" s="185" t="s">
        <v>30</v>
      </c>
      <c r="F26" s="121">
        <f>849500*75%</f>
        <v>637125</v>
      </c>
      <c r="G26" s="121">
        <f t="shared" ref="G26:G32" si="2">B26*D26*F26</f>
        <v>9556875</v>
      </c>
      <c r="H26" s="123">
        <f t="shared" si="0"/>
        <v>14569.362016107763</v>
      </c>
      <c r="I26" s="171"/>
      <c r="J26" s="122">
        <f>$H26*80%</f>
        <v>11655.489612886211</v>
      </c>
      <c r="K26" s="123">
        <f>$H26*20%</f>
        <v>2913.8724032215528</v>
      </c>
    </row>
    <row r="27" spans="1:12" ht="34.5" customHeight="1" x14ac:dyDescent="0.25">
      <c r="A27" s="124" t="s">
        <v>266</v>
      </c>
      <c r="B27" s="126">
        <v>1</v>
      </c>
      <c r="C27" s="126" t="s">
        <v>265</v>
      </c>
      <c r="D27" s="126">
        <v>18</v>
      </c>
      <c r="E27" s="185" t="s">
        <v>30</v>
      </c>
      <c r="F27" s="121">
        <v>634500</v>
      </c>
      <c r="G27" s="121">
        <f t="shared" si="2"/>
        <v>11421000</v>
      </c>
      <c r="H27" s="123">
        <f t="shared" si="0"/>
        <v>17411.20225868464</v>
      </c>
      <c r="I27" s="171"/>
      <c r="J27" s="122">
        <f>$H27*80%</f>
        <v>13928.961806947713</v>
      </c>
      <c r="K27" s="123">
        <f>$H27*20%</f>
        <v>3482.2404517369282</v>
      </c>
    </row>
    <row r="28" spans="1:12" ht="15.75" x14ac:dyDescent="0.25">
      <c r="A28" s="124" t="s">
        <v>267</v>
      </c>
      <c r="B28" s="126">
        <v>1</v>
      </c>
      <c r="C28" s="126" t="s">
        <v>265</v>
      </c>
      <c r="D28" s="126">
        <v>17</v>
      </c>
      <c r="E28" s="185" t="s">
        <v>30</v>
      </c>
      <c r="F28" s="121">
        <v>634500</v>
      </c>
      <c r="G28" s="121">
        <f t="shared" si="2"/>
        <v>10786500</v>
      </c>
      <c r="H28" s="123">
        <f t="shared" si="0"/>
        <v>16443.913244313269</v>
      </c>
      <c r="I28" s="171"/>
      <c r="J28" s="122"/>
      <c r="K28" s="123">
        <f>$H28</f>
        <v>16443.913244313269</v>
      </c>
    </row>
    <row r="29" spans="1:12" ht="15.75" x14ac:dyDescent="0.25">
      <c r="A29" s="124" t="s">
        <v>268</v>
      </c>
      <c r="B29" s="126">
        <v>1</v>
      </c>
      <c r="C29" s="126" t="s">
        <v>265</v>
      </c>
      <c r="D29" s="126">
        <v>17</v>
      </c>
      <c r="E29" s="185" t="s">
        <v>30</v>
      </c>
      <c r="F29" s="166">
        <v>425000</v>
      </c>
      <c r="G29" s="121">
        <f t="shared" si="2"/>
        <v>7225000</v>
      </c>
      <c r="H29" s="123">
        <f t="shared" si="0"/>
        <v>11014.4414954029</v>
      </c>
      <c r="I29" s="171"/>
      <c r="J29" s="122">
        <f t="shared" ref="J29:K36" si="3">$H29*50%</f>
        <v>5507.2207477014499</v>
      </c>
      <c r="K29" s="123">
        <f t="shared" si="3"/>
        <v>5507.2207477014499</v>
      </c>
    </row>
    <row r="30" spans="1:12" ht="15.75" x14ac:dyDescent="0.25">
      <c r="A30" s="124" t="s">
        <v>269</v>
      </c>
      <c r="B30" s="126">
        <v>1</v>
      </c>
      <c r="C30" s="126" t="s">
        <v>265</v>
      </c>
      <c r="D30" s="126">
        <v>4</v>
      </c>
      <c r="E30" s="185" t="s">
        <v>30</v>
      </c>
      <c r="F30" s="121">
        <v>849500</v>
      </c>
      <c r="G30" s="121">
        <f t="shared" si="2"/>
        <v>3398000</v>
      </c>
      <c r="H30" s="123">
        <f t="shared" si="0"/>
        <v>5180.2176057272045</v>
      </c>
      <c r="I30" s="171"/>
      <c r="J30" s="122">
        <f>$H30*80%</f>
        <v>4144.174084581764</v>
      </c>
      <c r="K30" s="123">
        <f>$H30*20%</f>
        <v>1036.043521145441</v>
      </c>
    </row>
    <row r="31" spans="1:12" ht="15.75" x14ac:dyDescent="0.25">
      <c r="A31" s="124" t="s">
        <v>270</v>
      </c>
      <c r="B31" s="126">
        <v>1</v>
      </c>
      <c r="C31" s="126" t="s">
        <v>265</v>
      </c>
      <c r="D31" s="126">
        <v>4</v>
      </c>
      <c r="E31" s="185" t="s">
        <v>30</v>
      </c>
      <c r="F31" s="121">
        <v>634500</v>
      </c>
      <c r="G31" s="121">
        <f t="shared" si="2"/>
        <v>2538000</v>
      </c>
      <c r="H31" s="123">
        <f t="shared" si="0"/>
        <v>3869.1560574854752</v>
      </c>
      <c r="I31" s="171"/>
      <c r="J31" s="122">
        <f t="shared" si="3"/>
        <v>1934.5780287427376</v>
      </c>
      <c r="K31" s="123">
        <f t="shared" si="3"/>
        <v>1934.5780287427376</v>
      </c>
    </row>
    <row r="32" spans="1:12" ht="15.75" x14ac:dyDescent="0.25">
      <c r="A32" s="124" t="s">
        <v>271</v>
      </c>
      <c r="B32" s="126">
        <v>1</v>
      </c>
      <c r="C32" s="126" t="s">
        <v>265</v>
      </c>
      <c r="D32" s="126">
        <v>14</v>
      </c>
      <c r="E32" s="185" t="s">
        <v>30</v>
      </c>
      <c r="F32" s="121">
        <v>245000</v>
      </c>
      <c r="G32" s="121">
        <f t="shared" si="2"/>
        <v>3430000</v>
      </c>
      <c r="H32" s="123">
        <f t="shared" si="0"/>
        <v>5229.0012912431757</v>
      </c>
      <c r="I32" s="171"/>
      <c r="J32" s="122">
        <f t="shared" si="3"/>
        <v>2614.5006456215879</v>
      </c>
      <c r="K32" s="123">
        <f t="shared" si="3"/>
        <v>2614.5006456215879</v>
      </c>
    </row>
    <row r="33" spans="1:12" ht="15.75" x14ac:dyDescent="0.25">
      <c r="A33" s="124" t="s">
        <v>272</v>
      </c>
      <c r="B33" s="126">
        <v>2</v>
      </c>
      <c r="C33" s="126" t="s">
        <v>265</v>
      </c>
      <c r="D33" s="126">
        <v>24</v>
      </c>
      <c r="E33" s="185" t="s">
        <v>30</v>
      </c>
      <c r="F33" s="121">
        <v>70000</v>
      </c>
      <c r="G33" s="121">
        <f>B33*D33*F33</f>
        <v>3360000</v>
      </c>
      <c r="H33" s="123">
        <f>+G33/$G$1</f>
        <v>5122.286979176989</v>
      </c>
      <c r="I33" s="171"/>
      <c r="J33" s="122">
        <f t="shared" si="3"/>
        <v>2561.1434895884945</v>
      </c>
      <c r="K33" s="123">
        <f t="shared" si="3"/>
        <v>2561.1434895884945</v>
      </c>
    </row>
    <row r="34" spans="1:12" ht="15.75" x14ac:dyDescent="0.25">
      <c r="A34" s="124" t="s">
        <v>273</v>
      </c>
      <c r="B34" s="126">
        <v>6</v>
      </c>
      <c r="C34" s="126" t="s">
        <v>265</v>
      </c>
      <c r="D34" s="126">
        <v>2</v>
      </c>
      <c r="E34" s="185" t="s">
        <v>274</v>
      </c>
      <c r="F34" s="121">
        <v>320000</v>
      </c>
      <c r="G34" s="121">
        <f t="shared" ref="G34:G36" si="4">B34*D34*F34</f>
        <v>3840000</v>
      </c>
      <c r="H34" s="123">
        <f t="shared" ref="H34:H69" si="5">+G34/$G$1</f>
        <v>5854.0422619165583</v>
      </c>
      <c r="I34" s="171"/>
      <c r="J34" s="122">
        <f t="shared" si="3"/>
        <v>2927.0211309582792</v>
      </c>
      <c r="K34" s="123">
        <f t="shared" si="3"/>
        <v>2927.0211309582792</v>
      </c>
    </row>
    <row r="35" spans="1:12" ht="15.75" x14ac:dyDescent="0.25">
      <c r="A35" s="124" t="s">
        <v>275</v>
      </c>
      <c r="B35" s="126">
        <v>1</v>
      </c>
      <c r="C35" s="126" t="s">
        <v>265</v>
      </c>
      <c r="D35" s="126">
        <v>18</v>
      </c>
      <c r="E35" s="185" t="s">
        <v>30</v>
      </c>
      <c r="F35" s="121">
        <v>75000</v>
      </c>
      <c r="G35" s="121">
        <f t="shared" si="4"/>
        <v>1350000</v>
      </c>
      <c r="H35" s="123">
        <f t="shared" si="5"/>
        <v>2058.06173270504</v>
      </c>
      <c r="I35" s="171"/>
      <c r="J35" s="122"/>
      <c r="K35" s="123">
        <f>$H35</f>
        <v>2058.06173270504</v>
      </c>
    </row>
    <row r="36" spans="1:12" ht="15.75" x14ac:dyDescent="0.25">
      <c r="A36" s="124" t="s">
        <v>276</v>
      </c>
      <c r="B36" s="126">
        <v>6</v>
      </c>
      <c r="C36" s="126" t="s">
        <v>265</v>
      </c>
      <c r="D36" s="126">
        <v>1</v>
      </c>
      <c r="E36" s="186" t="s">
        <v>15</v>
      </c>
      <c r="F36" s="121">
        <v>215000</v>
      </c>
      <c r="G36" s="121">
        <f t="shared" si="4"/>
        <v>1290000</v>
      </c>
      <c r="H36" s="123">
        <f t="shared" si="5"/>
        <v>1966.5923223625939</v>
      </c>
      <c r="I36" s="171"/>
      <c r="J36" s="122">
        <f t="shared" si="3"/>
        <v>983.29616118129695</v>
      </c>
      <c r="K36" s="123">
        <f t="shared" si="3"/>
        <v>983.29616118129695</v>
      </c>
    </row>
    <row r="37" spans="1:12" s="177" customFormat="1" ht="18" x14ac:dyDescent="0.25">
      <c r="A37" s="107" t="s">
        <v>44</v>
      </c>
      <c r="B37" s="109"/>
      <c r="C37" s="108"/>
      <c r="D37" s="109"/>
      <c r="E37" s="108"/>
      <c r="F37" s="110"/>
      <c r="G37" s="110">
        <f>SUBTOTAL(9,G38:G40)</f>
        <v>10551250</v>
      </c>
      <c r="H37" s="174">
        <f>+G37/$G$1</f>
        <v>16085.276931262262</v>
      </c>
      <c r="I37" s="175"/>
      <c r="J37" s="176">
        <f>SUM(J38:J40)</f>
        <v>6682.8313441277405</v>
      </c>
      <c r="K37" s="176">
        <f>SUM(K38:K40)</f>
        <v>9402.4455871345235</v>
      </c>
    </row>
    <row r="38" spans="1:12" ht="15.75" x14ac:dyDescent="0.25">
      <c r="A38" s="124" t="s">
        <v>277</v>
      </c>
      <c r="B38" s="126">
        <v>1</v>
      </c>
      <c r="C38" s="126" t="s">
        <v>265</v>
      </c>
      <c r="D38" s="126">
        <v>14</v>
      </c>
      <c r="E38" s="186" t="s">
        <v>30</v>
      </c>
      <c r="F38" s="121">
        <f>849500*25%</f>
        <v>212375</v>
      </c>
      <c r="G38" s="121">
        <f>B38*D38*F38</f>
        <v>2973250</v>
      </c>
      <c r="H38" s="123">
        <f>+G38/$G$1</f>
        <v>4532.6904050113044</v>
      </c>
      <c r="I38" s="171"/>
      <c r="J38" s="122">
        <f>$H38*20%</f>
        <v>906.53808100226092</v>
      </c>
      <c r="K38" s="123">
        <f>$H38*80%</f>
        <v>3626.1523240090437</v>
      </c>
    </row>
    <row r="39" spans="1:12" ht="15.75" x14ac:dyDescent="0.25">
      <c r="A39" s="124" t="s">
        <v>278</v>
      </c>
      <c r="B39" s="126">
        <v>1</v>
      </c>
      <c r="C39" s="126" t="s">
        <v>265</v>
      </c>
      <c r="D39" s="126">
        <v>4</v>
      </c>
      <c r="E39" s="186" t="s">
        <v>30</v>
      </c>
      <c r="F39" s="121">
        <v>634500</v>
      </c>
      <c r="G39" s="121">
        <f>B39*D39*F39</f>
        <v>2538000</v>
      </c>
      <c r="H39" s="123">
        <f>+G39/$G$1</f>
        <v>3869.1560574854752</v>
      </c>
      <c r="I39" s="171"/>
      <c r="J39" s="122">
        <f>$H39*50%</f>
        <v>1934.5780287427376</v>
      </c>
      <c r="K39" s="123">
        <f>$H39*50%</f>
        <v>1934.5780287427376</v>
      </c>
      <c r="L39" s="198"/>
    </row>
    <row r="40" spans="1:12" ht="15.75" x14ac:dyDescent="0.25">
      <c r="A40" s="124" t="s">
        <v>279</v>
      </c>
      <c r="B40" s="126">
        <v>2</v>
      </c>
      <c r="C40" s="126" t="s">
        <v>265</v>
      </c>
      <c r="D40" s="126">
        <v>24</v>
      </c>
      <c r="E40" s="185" t="s">
        <v>30</v>
      </c>
      <c r="F40" s="121">
        <v>105000</v>
      </c>
      <c r="G40" s="121">
        <f>B40*D40*F40</f>
        <v>5040000</v>
      </c>
      <c r="H40" s="123">
        <f>+G40/$G$1</f>
        <v>7683.4304687654831</v>
      </c>
      <c r="I40" s="171"/>
      <c r="J40" s="122">
        <f>$H40*50%</f>
        <v>3841.7152343827415</v>
      </c>
      <c r="K40" s="123">
        <f>$H40*50%</f>
        <v>3841.7152343827415</v>
      </c>
      <c r="L40" s="198"/>
    </row>
    <row r="41" spans="1:12" s="177" customFormat="1" ht="36" x14ac:dyDescent="0.25">
      <c r="A41" s="107" t="s">
        <v>280</v>
      </c>
      <c r="B41" s="109"/>
      <c r="C41" s="108"/>
      <c r="D41" s="109"/>
      <c r="E41" s="108"/>
      <c r="F41" s="110"/>
      <c r="G41" s="110">
        <f>SUBTOTAL(9,G42:G44)</f>
        <v>72155270</v>
      </c>
      <c r="H41" s="174">
        <f>+G41/$G$1</f>
        <v>110000</v>
      </c>
      <c r="I41" s="175"/>
      <c r="J41" s="176">
        <f>SUBTOTAL(9,J42:J44)</f>
        <v>92500</v>
      </c>
      <c r="K41" s="174">
        <f>SUBTOTAL(9,K42:K44)</f>
        <v>17500</v>
      </c>
      <c r="L41" s="284"/>
    </row>
    <row r="42" spans="1:12" x14ac:dyDescent="0.25">
      <c r="A42" s="124" t="s">
        <v>281</v>
      </c>
      <c r="B42" s="126">
        <v>1</v>
      </c>
      <c r="C42" s="125" t="s">
        <v>265</v>
      </c>
      <c r="D42" s="126">
        <v>15</v>
      </c>
      <c r="E42" s="186" t="s">
        <v>30</v>
      </c>
      <c r="F42" s="121">
        <v>3279785</v>
      </c>
      <c r="G42" s="121">
        <f>B42*D42*F42</f>
        <v>49196775</v>
      </c>
      <c r="H42" s="123">
        <f t="shared" si="5"/>
        <v>75000</v>
      </c>
      <c r="I42" s="187"/>
      <c r="J42" s="122">
        <f>H42</f>
        <v>75000</v>
      </c>
      <c r="K42" s="123"/>
      <c r="L42" s="198"/>
    </row>
    <row r="43" spans="1:12" ht="15.75" x14ac:dyDescent="0.25">
      <c r="A43" s="124" t="s">
        <v>282</v>
      </c>
      <c r="B43" s="126">
        <v>1</v>
      </c>
      <c r="C43" s="125" t="s">
        <v>265</v>
      </c>
      <c r="D43" s="126">
        <v>4</v>
      </c>
      <c r="E43" s="186" t="s">
        <v>30</v>
      </c>
      <c r="F43" s="121">
        <v>3935742</v>
      </c>
      <c r="G43" s="121">
        <f t="shared" ref="G43:G44" si="6">B43*D43*F43</f>
        <v>15742968</v>
      </c>
      <c r="H43" s="123">
        <f t="shared" si="5"/>
        <v>24000</v>
      </c>
      <c r="I43" s="171"/>
      <c r="J43" s="122">
        <f>$H43*50%</f>
        <v>12000</v>
      </c>
      <c r="K43" s="123">
        <f>$H43*50%</f>
        <v>12000</v>
      </c>
      <c r="L43" s="198"/>
    </row>
    <row r="44" spans="1:12" ht="18" x14ac:dyDescent="0.25">
      <c r="A44" s="124" t="s">
        <v>49</v>
      </c>
      <c r="B44" s="126">
        <v>1</v>
      </c>
      <c r="C44" s="125" t="s">
        <v>265</v>
      </c>
      <c r="D44" s="126">
        <v>2</v>
      </c>
      <c r="E44" s="186" t="s">
        <v>30</v>
      </c>
      <c r="F44" s="121">
        <f>5500*G1</f>
        <v>3607763.5</v>
      </c>
      <c r="G44" s="121">
        <f t="shared" si="6"/>
        <v>7215527</v>
      </c>
      <c r="H44" s="123">
        <f t="shared" si="5"/>
        <v>11000</v>
      </c>
      <c r="I44" s="171"/>
      <c r="J44" s="122">
        <f>$H44*50%</f>
        <v>5500</v>
      </c>
      <c r="K44" s="123">
        <f>$H44*50%</f>
        <v>5500</v>
      </c>
      <c r="L44" s="284"/>
    </row>
    <row r="45" spans="1:12" s="173" customFormat="1" ht="20.25" x14ac:dyDescent="0.25">
      <c r="A45" s="130" t="s">
        <v>283</v>
      </c>
      <c r="B45" s="132"/>
      <c r="C45" s="131"/>
      <c r="D45" s="132"/>
      <c r="E45" s="131"/>
      <c r="F45" s="133"/>
      <c r="G45" s="133">
        <f>SUM(G46+G51+G58+G65+G69+G79)</f>
        <v>61363854</v>
      </c>
      <c r="H45" s="180">
        <f>+G45/$G$1</f>
        <v>93548.592361999341</v>
      </c>
      <c r="I45" s="171">
        <f>H45/$H$137</f>
        <v>9.6726677066159533E-2</v>
      </c>
      <c r="J45" s="181">
        <f>SUM(J46, J51,J58,J65,J69,J79)</f>
        <v>50318.735831769467</v>
      </c>
      <c r="K45" s="181">
        <f>SUM(K46, K51,K58,K65,K69,K79)</f>
        <v>43229.856530229881</v>
      </c>
      <c r="L45" s="285"/>
    </row>
    <row r="46" spans="1:12" s="177" customFormat="1" ht="18" x14ac:dyDescent="0.25">
      <c r="A46" s="107" t="s">
        <v>284</v>
      </c>
      <c r="B46" s="109"/>
      <c r="C46" s="108"/>
      <c r="D46" s="109"/>
      <c r="E46" s="108"/>
      <c r="F46" s="110"/>
      <c r="G46" s="110">
        <f>SUM(G47:G50)</f>
        <v>12500000</v>
      </c>
      <c r="H46" s="174">
        <f t="shared" ref="H46:H64" si="7">+G46/$G$1</f>
        <v>19056.127154676298</v>
      </c>
      <c r="I46" s="175"/>
      <c r="J46" s="176">
        <f>SUM(J47:J50)</f>
        <v>9528.0635773381473</v>
      </c>
      <c r="K46" s="174">
        <f>SUM(K47:K50)</f>
        <v>9528.0635773381473</v>
      </c>
    </row>
    <row r="47" spans="1:12" ht="15.75" x14ac:dyDescent="0.25">
      <c r="A47" s="124" t="s">
        <v>285</v>
      </c>
      <c r="B47" s="126">
        <v>1</v>
      </c>
      <c r="C47" s="127" t="s">
        <v>15</v>
      </c>
      <c r="D47" s="126">
        <v>24</v>
      </c>
      <c r="E47" s="125" t="s">
        <v>30</v>
      </c>
      <c r="F47" s="121">
        <v>200000</v>
      </c>
      <c r="G47" s="121">
        <f>B47*D47*F47</f>
        <v>4800000</v>
      </c>
      <c r="H47" s="123">
        <f t="shared" si="7"/>
        <v>7317.5528273956979</v>
      </c>
      <c r="I47" s="171"/>
      <c r="J47" s="122">
        <f t="shared" ref="J47:K50" si="8">$H47/2</f>
        <v>3658.776413697849</v>
      </c>
      <c r="K47" s="123">
        <f t="shared" si="8"/>
        <v>3658.776413697849</v>
      </c>
    </row>
    <row r="48" spans="1:12" ht="42.75" customHeight="1" x14ac:dyDescent="0.25">
      <c r="A48" s="124" t="s">
        <v>286</v>
      </c>
      <c r="B48" s="126">
        <v>1</v>
      </c>
      <c r="C48" s="127" t="s">
        <v>15</v>
      </c>
      <c r="D48" s="126">
        <v>24</v>
      </c>
      <c r="E48" s="125" t="s">
        <v>30</v>
      </c>
      <c r="F48" s="121">
        <v>200000</v>
      </c>
      <c r="G48" s="121">
        <f>B48*D48*F48</f>
        <v>4800000</v>
      </c>
      <c r="H48" s="123">
        <f t="shared" si="7"/>
        <v>7317.5528273956979</v>
      </c>
      <c r="I48" s="171"/>
      <c r="J48" s="122">
        <f t="shared" si="8"/>
        <v>3658.776413697849</v>
      </c>
      <c r="K48" s="123">
        <f t="shared" si="8"/>
        <v>3658.776413697849</v>
      </c>
    </row>
    <row r="49" spans="1:11" ht="30" x14ac:dyDescent="0.25">
      <c r="A49" s="124" t="s">
        <v>287</v>
      </c>
      <c r="B49" s="126">
        <v>1</v>
      </c>
      <c r="C49" s="125" t="s">
        <v>15</v>
      </c>
      <c r="D49" s="126">
        <v>1</v>
      </c>
      <c r="E49" s="125" t="s">
        <v>15</v>
      </c>
      <c r="F49" s="121">
        <v>500000</v>
      </c>
      <c r="G49" s="121">
        <f>+F49*D49*B49</f>
        <v>500000</v>
      </c>
      <c r="H49" s="123">
        <f t="shared" si="7"/>
        <v>762.24508618705192</v>
      </c>
      <c r="I49" s="171"/>
      <c r="J49" s="122">
        <f t="shared" si="8"/>
        <v>381.12254309352596</v>
      </c>
      <c r="K49" s="123">
        <f t="shared" si="8"/>
        <v>381.12254309352596</v>
      </c>
    </row>
    <row r="50" spans="1:11" ht="15.75" x14ac:dyDescent="0.25">
      <c r="A50" s="124" t="s">
        <v>288</v>
      </c>
      <c r="B50" s="126">
        <v>1</v>
      </c>
      <c r="C50" s="127" t="s">
        <v>207</v>
      </c>
      <c r="D50" s="126">
        <v>48</v>
      </c>
      <c r="E50" s="125" t="s">
        <v>65</v>
      </c>
      <c r="F50" s="121">
        <v>50000</v>
      </c>
      <c r="G50" s="121">
        <f>B50*D50*F50</f>
        <v>2400000</v>
      </c>
      <c r="H50" s="123">
        <f t="shared" si="7"/>
        <v>3658.776413697849</v>
      </c>
      <c r="I50" s="171"/>
      <c r="J50" s="122">
        <f t="shared" si="8"/>
        <v>1829.3882068489245</v>
      </c>
      <c r="K50" s="123">
        <f t="shared" si="8"/>
        <v>1829.3882068489245</v>
      </c>
    </row>
    <row r="51" spans="1:11" s="177" customFormat="1" ht="18" x14ac:dyDescent="0.25">
      <c r="A51" s="107" t="s">
        <v>191</v>
      </c>
      <c r="B51" s="109"/>
      <c r="C51" s="108"/>
      <c r="D51" s="109"/>
      <c r="E51" s="108"/>
      <c r="F51" s="110"/>
      <c r="G51" s="110">
        <f>SUM(G52+G56)</f>
        <v>11985742</v>
      </c>
      <c r="H51" s="110">
        <f t="shared" si="7"/>
        <v>18272.145887611536</v>
      </c>
      <c r="I51" s="175"/>
      <c r="J51" s="176">
        <f>SUM(J52,J56)</f>
        <v>9822.0935213741141</v>
      </c>
      <c r="K51" s="174">
        <f>SUM(K52,K56)</f>
        <v>8450.0523662374217</v>
      </c>
    </row>
    <row r="52" spans="1:11" ht="15.75" x14ac:dyDescent="0.25">
      <c r="A52" s="111" t="s">
        <v>289</v>
      </c>
      <c r="B52" s="178"/>
      <c r="C52" s="112"/>
      <c r="D52" s="178"/>
      <c r="E52" s="112"/>
      <c r="F52" s="179"/>
      <c r="G52" s="113">
        <f>SUBTOTAL(9,G53:G55)</f>
        <v>8050000</v>
      </c>
      <c r="H52" s="114">
        <f t="shared" si="7"/>
        <v>12272.145887611536</v>
      </c>
      <c r="I52" s="171"/>
      <c r="J52" s="115">
        <f>SUBTOTAL(9,J53:J55)</f>
        <v>6822.093521374115</v>
      </c>
      <c r="K52" s="116">
        <f>SUBTOTAL(9,K53:K55)</f>
        <v>5450.0523662374217</v>
      </c>
    </row>
    <row r="53" spans="1:11" ht="15" customHeight="1" x14ac:dyDescent="0.25">
      <c r="A53" s="124" t="s">
        <v>290</v>
      </c>
      <c r="B53" s="126">
        <v>1</v>
      </c>
      <c r="C53" s="127" t="s">
        <v>265</v>
      </c>
      <c r="D53" s="126">
        <v>10</v>
      </c>
      <c r="E53" s="125" t="s">
        <v>291</v>
      </c>
      <c r="F53" s="121">
        <v>450000</v>
      </c>
      <c r="G53" s="121">
        <f>+F53*D53*B53</f>
        <v>4500000</v>
      </c>
      <c r="H53" s="123">
        <f t="shared" si="7"/>
        <v>6860.2057756834674</v>
      </c>
      <c r="I53" s="171"/>
      <c r="J53" s="122">
        <f>$H53*80%</f>
        <v>5488.1646205467741</v>
      </c>
      <c r="K53" s="123">
        <f>$H53*20%</f>
        <v>1372.0411551366935</v>
      </c>
    </row>
    <row r="54" spans="1:11" ht="15" customHeight="1" x14ac:dyDescent="0.25">
      <c r="A54" s="124" t="s">
        <v>292</v>
      </c>
      <c r="B54" s="126">
        <v>1</v>
      </c>
      <c r="C54" s="127" t="s">
        <v>265</v>
      </c>
      <c r="D54" s="126">
        <v>4</v>
      </c>
      <c r="E54" s="125" t="s">
        <v>291</v>
      </c>
      <c r="F54" s="121">
        <v>450000</v>
      </c>
      <c r="G54" s="121">
        <f>+F54*D54*B54</f>
        <v>1800000</v>
      </c>
      <c r="H54" s="123">
        <f t="shared" si="7"/>
        <v>2744.0823102733871</v>
      </c>
      <c r="I54" s="171"/>
      <c r="J54" s="122"/>
      <c r="K54" s="123">
        <f>H54</f>
        <v>2744.0823102733871</v>
      </c>
    </row>
    <row r="55" spans="1:11" ht="15" customHeight="1" x14ac:dyDescent="0.25">
      <c r="A55" s="124" t="s">
        <v>293</v>
      </c>
      <c r="B55" s="126">
        <v>1</v>
      </c>
      <c r="C55" s="127" t="s">
        <v>265</v>
      </c>
      <c r="D55" s="126">
        <v>5</v>
      </c>
      <c r="E55" s="125" t="s">
        <v>16</v>
      </c>
      <c r="F55" s="121">
        <v>350000</v>
      </c>
      <c r="G55" s="121">
        <f>+F55*D55*B55</f>
        <v>1750000</v>
      </c>
      <c r="H55" s="123">
        <f t="shared" si="7"/>
        <v>2667.8578016546817</v>
      </c>
      <c r="I55" s="171"/>
      <c r="J55" s="122">
        <f>$H55*50%</f>
        <v>1333.9289008273408</v>
      </c>
      <c r="K55" s="123">
        <f>$H55*50%</f>
        <v>1333.9289008273408</v>
      </c>
    </row>
    <row r="56" spans="1:11" ht="15.75" x14ac:dyDescent="0.25">
      <c r="A56" s="111" t="s">
        <v>294</v>
      </c>
      <c r="B56" s="178"/>
      <c r="C56" s="112"/>
      <c r="D56" s="178"/>
      <c r="E56" s="112"/>
      <c r="F56" s="179"/>
      <c r="G56" s="113">
        <f>SUBTOTAL(9,G57:G57)</f>
        <v>3935742</v>
      </c>
      <c r="H56" s="114">
        <f t="shared" si="7"/>
        <v>6000</v>
      </c>
      <c r="I56" s="171"/>
      <c r="J56" s="115">
        <f>SUBTOTAL(9,J57:J57)</f>
        <v>3000</v>
      </c>
      <c r="K56" s="116">
        <f>SUBTOTAL(9,K57:K57)</f>
        <v>3000</v>
      </c>
    </row>
    <row r="57" spans="1:11" ht="30.75" customHeight="1" x14ac:dyDescent="0.25">
      <c r="A57" s="124" t="s">
        <v>295</v>
      </c>
      <c r="B57" s="126">
        <v>1</v>
      </c>
      <c r="C57" s="127" t="s">
        <v>15</v>
      </c>
      <c r="D57" s="126">
        <v>3</v>
      </c>
      <c r="E57" s="125" t="s">
        <v>16</v>
      </c>
      <c r="F57" s="121">
        <f>2000*G1</f>
        <v>1311914</v>
      </c>
      <c r="G57" s="127">
        <f>+F57*D57*B57</f>
        <v>3935742</v>
      </c>
      <c r="H57" s="123">
        <f t="shared" si="7"/>
        <v>6000</v>
      </c>
      <c r="I57" s="171"/>
      <c r="J57" s="124">
        <f>$H57*50%</f>
        <v>3000</v>
      </c>
      <c r="K57" s="144">
        <f>$H57*50%</f>
        <v>3000</v>
      </c>
    </row>
    <row r="58" spans="1:11" s="177" customFormat="1" ht="18" x14ac:dyDescent="0.25">
      <c r="A58" s="107" t="s">
        <v>69</v>
      </c>
      <c r="B58" s="109"/>
      <c r="C58" s="108"/>
      <c r="D58" s="109"/>
      <c r="E58" s="108"/>
      <c r="F58" s="110"/>
      <c r="G58" s="110">
        <f>SUM(G59:G64)</f>
        <v>10670000</v>
      </c>
      <c r="H58" s="174">
        <f t="shared" si="7"/>
        <v>16266.310139231688</v>
      </c>
      <c r="I58" s="175"/>
      <c r="J58" s="176">
        <f>SUM(J59:J64)</f>
        <v>10991.57414281729</v>
      </c>
      <c r="K58" s="174">
        <f>SUM(K59:K64)</f>
        <v>5274.735996414398</v>
      </c>
    </row>
    <row r="59" spans="1:11" ht="15.75" x14ac:dyDescent="0.25">
      <c r="A59" s="124" t="s">
        <v>296</v>
      </c>
      <c r="B59" s="126">
        <v>1</v>
      </c>
      <c r="C59" s="127" t="s">
        <v>15</v>
      </c>
      <c r="D59" s="126">
        <v>24</v>
      </c>
      <c r="E59" s="125" t="s">
        <v>30</v>
      </c>
      <c r="F59" s="121">
        <v>50000</v>
      </c>
      <c r="G59" s="121">
        <f>B59*D59*F59</f>
        <v>1200000</v>
      </c>
      <c r="H59" s="123">
        <f t="shared" si="7"/>
        <v>1829.3882068489245</v>
      </c>
      <c r="I59" s="171"/>
      <c r="J59" s="122">
        <f>$H59/2</f>
        <v>914.69410342446224</v>
      </c>
      <c r="K59" s="123">
        <f>$H59/2</f>
        <v>914.69410342446224</v>
      </c>
    </row>
    <row r="60" spans="1:11" ht="15.75" x14ac:dyDescent="0.25">
      <c r="A60" s="124" t="s">
        <v>297</v>
      </c>
      <c r="B60" s="126">
        <v>1</v>
      </c>
      <c r="C60" s="127" t="s">
        <v>207</v>
      </c>
      <c r="D60" s="126">
        <v>24</v>
      </c>
      <c r="E60" s="125" t="s">
        <v>30</v>
      </c>
      <c r="F60" s="121">
        <v>30000</v>
      </c>
      <c r="G60" s="121">
        <f>B60*D60*F60</f>
        <v>720000</v>
      </c>
      <c r="H60" s="123">
        <f t="shared" si="7"/>
        <v>1097.6329241093547</v>
      </c>
      <c r="I60" s="171"/>
      <c r="J60" s="122">
        <f>$H60/2</f>
        <v>548.81646205467734</v>
      </c>
      <c r="K60" s="123">
        <f>$H60/2</f>
        <v>548.81646205467734</v>
      </c>
    </row>
    <row r="61" spans="1:11" ht="15.75" x14ac:dyDescent="0.25">
      <c r="A61" s="124" t="s">
        <v>298</v>
      </c>
      <c r="B61" s="126">
        <v>1</v>
      </c>
      <c r="C61" s="125" t="s">
        <v>207</v>
      </c>
      <c r="D61" s="126">
        <v>300</v>
      </c>
      <c r="E61" s="125" t="s">
        <v>299</v>
      </c>
      <c r="F61" s="121">
        <v>10000</v>
      </c>
      <c r="G61" s="121">
        <f>+F61*D61*B61</f>
        <v>3000000</v>
      </c>
      <c r="H61" s="123">
        <f t="shared" si="7"/>
        <v>4573.4705171223113</v>
      </c>
      <c r="I61" s="171"/>
      <c r="J61" s="122">
        <f>($H61/300)*225</f>
        <v>3430.1028878417333</v>
      </c>
      <c r="K61" s="123">
        <f>($H61/300)*75</f>
        <v>1143.3676292805778</v>
      </c>
    </row>
    <row r="62" spans="1:11" ht="15.75" x14ac:dyDescent="0.25">
      <c r="A62" s="124" t="s">
        <v>300</v>
      </c>
      <c r="B62" s="126">
        <v>1</v>
      </c>
      <c r="C62" s="125" t="s">
        <v>207</v>
      </c>
      <c r="D62" s="126">
        <v>50</v>
      </c>
      <c r="E62" s="125" t="s">
        <v>301</v>
      </c>
      <c r="F62" s="121">
        <v>75000</v>
      </c>
      <c r="G62" s="121">
        <f>+F62*D62*B62</f>
        <v>3750000</v>
      </c>
      <c r="H62" s="123">
        <f t="shared" si="7"/>
        <v>5716.8381464028889</v>
      </c>
      <c r="I62" s="171"/>
      <c r="J62" s="122">
        <f>($H62/50)*40</f>
        <v>4573.4705171223113</v>
      </c>
      <c r="K62" s="123">
        <f>($H62/50)*10</f>
        <v>1143.3676292805778</v>
      </c>
    </row>
    <row r="63" spans="1:11" ht="30" x14ac:dyDescent="0.25">
      <c r="A63" s="124" t="s">
        <v>302</v>
      </c>
      <c r="B63" s="126">
        <v>1</v>
      </c>
      <c r="C63" s="125" t="s">
        <v>207</v>
      </c>
      <c r="D63" s="126">
        <v>1</v>
      </c>
      <c r="E63" s="125" t="s">
        <v>15</v>
      </c>
      <c r="F63" s="121">
        <v>1500000</v>
      </c>
      <c r="G63" s="121">
        <f>+F63*D63*B63</f>
        <v>1500000</v>
      </c>
      <c r="H63" s="123">
        <f t="shared" si="7"/>
        <v>2286.7352585611557</v>
      </c>
      <c r="I63" s="171"/>
      <c r="J63" s="122">
        <f>$H63/2</f>
        <v>1143.3676292805778</v>
      </c>
      <c r="K63" s="123">
        <f>$H63/2</f>
        <v>1143.3676292805778</v>
      </c>
    </row>
    <row r="64" spans="1:11" ht="15.75" x14ac:dyDescent="0.25">
      <c r="A64" s="124" t="s">
        <v>303</v>
      </c>
      <c r="B64" s="126">
        <v>1</v>
      </c>
      <c r="C64" s="125" t="s">
        <v>15</v>
      </c>
      <c r="D64" s="126">
        <v>1</v>
      </c>
      <c r="E64" s="125" t="s">
        <v>304</v>
      </c>
      <c r="F64" s="121">
        <v>500000</v>
      </c>
      <c r="G64" s="121">
        <f>+F64*D64*B64</f>
        <v>500000</v>
      </c>
      <c r="H64" s="123">
        <f t="shared" si="7"/>
        <v>762.24508618705192</v>
      </c>
      <c r="I64" s="171"/>
      <c r="J64" s="122">
        <f>$H64/2</f>
        <v>381.12254309352596</v>
      </c>
      <c r="K64" s="123">
        <f>$H64/2</f>
        <v>381.12254309352596</v>
      </c>
    </row>
    <row r="65" spans="1:11" s="177" customFormat="1" ht="18" x14ac:dyDescent="0.25">
      <c r="A65" s="107" t="s">
        <v>305</v>
      </c>
      <c r="B65" s="109"/>
      <c r="C65" s="108"/>
      <c r="D65" s="109"/>
      <c r="E65" s="108"/>
      <c r="F65" s="110"/>
      <c r="G65" s="110">
        <f>SUM(G66:G68)</f>
        <v>4320000</v>
      </c>
      <c r="H65" s="174">
        <f>+G65/$G$1</f>
        <v>6585.7975446561286</v>
      </c>
      <c r="I65" s="175"/>
      <c r="J65" s="176">
        <f>SUM(J66:J68)</f>
        <v>3292.8987723280643</v>
      </c>
      <c r="K65" s="174">
        <f>SUM(K66:K68)</f>
        <v>3292.8987723280643</v>
      </c>
    </row>
    <row r="66" spans="1:11" ht="15.75" x14ac:dyDescent="0.25">
      <c r="A66" s="124" t="s">
        <v>306</v>
      </c>
      <c r="B66" s="126">
        <v>1</v>
      </c>
      <c r="C66" s="127" t="s">
        <v>307</v>
      </c>
      <c r="D66" s="126">
        <v>24</v>
      </c>
      <c r="E66" s="125" t="s">
        <v>30</v>
      </c>
      <c r="F66" s="121">
        <v>30000</v>
      </c>
      <c r="G66" s="121">
        <f>B66*D66*F66</f>
        <v>720000</v>
      </c>
      <c r="H66" s="123">
        <f t="shared" si="5"/>
        <v>1097.6329241093547</v>
      </c>
      <c r="I66" s="171"/>
      <c r="J66" s="122">
        <f t="shared" ref="J66:K68" si="9">$H66/2</f>
        <v>548.81646205467734</v>
      </c>
      <c r="K66" s="123">
        <f t="shared" si="9"/>
        <v>548.81646205467734</v>
      </c>
    </row>
    <row r="67" spans="1:11" ht="38.25" customHeight="1" x14ac:dyDescent="0.25">
      <c r="A67" s="124" t="s">
        <v>308</v>
      </c>
      <c r="B67" s="126">
        <v>1</v>
      </c>
      <c r="C67" s="125" t="s">
        <v>307</v>
      </c>
      <c r="D67" s="126">
        <v>24</v>
      </c>
      <c r="E67" s="125" t="s">
        <v>15</v>
      </c>
      <c r="F67" s="121">
        <v>75000</v>
      </c>
      <c r="G67" s="121">
        <f>B67*D67*F67</f>
        <v>1800000</v>
      </c>
      <c r="H67" s="123">
        <f t="shared" si="5"/>
        <v>2744.0823102733871</v>
      </c>
      <c r="I67" s="171"/>
      <c r="J67" s="122">
        <f t="shared" si="9"/>
        <v>1372.0411551366935</v>
      </c>
      <c r="K67" s="123">
        <f t="shared" si="9"/>
        <v>1372.0411551366935</v>
      </c>
    </row>
    <row r="68" spans="1:11" ht="38.25" customHeight="1" x14ac:dyDescent="0.25">
      <c r="A68" s="124" t="s">
        <v>309</v>
      </c>
      <c r="B68" s="126">
        <v>1</v>
      </c>
      <c r="C68" s="125" t="s">
        <v>15</v>
      </c>
      <c r="D68" s="126">
        <v>24</v>
      </c>
      <c r="E68" s="125" t="s">
        <v>15</v>
      </c>
      <c r="F68" s="121">
        <v>75000</v>
      </c>
      <c r="G68" s="121">
        <f>B68*D68*F68</f>
        <v>1800000</v>
      </c>
      <c r="H68" s="123">
        <f t="shared" si="5"/>
        <v>2744.0823102733871</v>
      </c>
      <c r="I68" s="171"/>
      <c r="J68" s="122">
        <f t="shared" si="9"/>
        <v>1372.0411551366935</v>
      </c>
      <c r="K68" s="123">
        <f t="shared" si="9"/>
        <v>1372.0411551366935</v>
      </c>
    </row>
    <row r="69" spans="1:11" s="177" customFormat="1" ht="18" x14ac:dyDescent="0.25">
      <c r="A69" s="107" t="s">
        <v>78</v>
      </c>
      <c r="B69" s="109"/>
      <c r="C69" s="108"/>
      <c r="D69" s="109"/>
      <c r="E69" s="108"/>
      <c r="F69" s="110"/>
      <c r="G69" s="110">
        <f>SUM(G70+G74)</f>
        <v>11392800</v>
      </c>
      <c r="H69" s="174">
        <f t="shared" si="5"/>
        <v>17368.211635823689</v>
      </c>
      <c r="I69" s="175"/>
      <c r="J69" s="176">
        <f>SUM(J70+J74)</f>
        <v>8684.1058179118463</v>
      </c>
      <c r="K69" s="174">
        <f>K70+K74</f>
        <v>8684.1058179118463</v>
      </c>
    </row>
    <row r="70" spans="1:11" ht="15.75" x14ac:dyDescent="0.25">
      <c r="A70" s="111" t="s">
        <v>310</v>
      </c>
      <c r="B70" s="178"/>
      <c r="C70" s="112"/>
      <c r="D70" s="178"/>
      <c r="E70" s="112"/>
      <c r="F70" s="179"/>
      <c r="G70" s="113">
        <f>SUM(G71:G73)</f>
        <v>1132800</v>
      </c>
      <c r="H70" s="114">
        <f>+G70/$G$1</f>
        <v>1726.9424672653847</v>
      </c>
      <c r="I70" s="171"/>
      <c r="J70" s="115">
        <f>SUM(J71:J73)</f>
        <v>863.47123363269236</v>
      </c>
      <c r="K70" s="116">
        <f>SUM(K71:K73)</f>
        <v>863.47123363269236</v>
      </c>
    </row>
    <row r="71" spans="1:11" ht="15.75" x14ac:dyDescent="0.25">
      <c r="A71" s="124" t="s">
        <v>311</v>
      </c>
      <c r="B71" s="126">
        <v>1</v>
      </c>
      <c r="C71" s="127" t="s">
        <v>207</v>
      </c>
      <c r="D71" s="126">
        <v>24</v>
      </c>
      <c r="E71" s="125" t="s">
        <v>30</v>
      </c>
      <c r="F71" s="121">
        <v>35000</v>
      </c>
      <c r="G71" s="121">
        <f>B71*D71*F71</f>
        <v>840000</v>
      </c>
      <c r="H71" s="123">
        <f>+G71/$G$1</f>
        <v>1280.5717447942473</v>
      </c>
      <c r="I71" s="171"/>
      <c r="J71" s="122">
        <f t="shared" ref="J71:K73" si="10">$H71/2</f>
        <v>640.28587239712363</v>
      </c>
      <c r="K71" s="123">
        <f t="shared" si="10"/>
        <v>640.28587239712363</v>
      </c>
    </row>
    <row r="72" spans="1:11" ht="15.75" x14ac:dyDescent="0.25">
      <c r="A72" s="124" t="s">
        <v>312</v>
      </c>
      <c r="B72" s="126">
        <v>1</v>
      </c>
      <c r="C72" s="127" t="s">
        <v>207</v>
      </c>
      <c r="D72" s="126">
        <v>24</v>
      </c>
      <c r="E72" s="125" t="s">
        <v>30</v>
      </c>
      <c r="F72" s="121">
        <v>5950</v>
      </c>
      <c r="G72" s="121">
        <f>B72*D72*F72</f>
        <v>142800</v>
      </c>
      <c r="H72" s="123">
        <f>+G72/$G$1</f>
        <v>217.69719661502202</v>
      </c>
      <c r="I72" s="171"/>
      <c r="J72" s="122">
        <f t="shared" si="10"/>
        <v>108.84859830751101</v>
      </c>
      <c r="K72" s="123">
        <f t="shared" si="10"/>
        <v>108.84859830751101</v>
      </c>
    </row>
    <row r="73" spans="1:11" ht="30" x14ac:dyDescent="0.25">
      <c r="A73" s="124" t="s">
        <v>313</v>
      </c>
      <c r="B73" s="126">
        <v>1</v>
      </c>
      <c r="C73" s="125" t="s">
        <v>307</v>
      </c>
      <c r="D73" s="126">
        <v>1</v>
      </c>
      <c r="E73" s="125" t="s">
        <v>307</v>
      </c>
      <c r="F73" s="121">
        <v>150000</v>
      </c>
      <c r="G73" s="121">
        <f>B73*D73*F73</f>
        <v>150000</v>
      </c>
      <c r="H73" s="123">
        <f>+G73/$G$1</f>
        <v>228.67352585611556</v>
      </c>
      <c r="I73" s="171"/>
      <c r="J73" s="122">
        <f t="shared" si="10"/>
        <v>114.33676292805778</v>
      </c>
      <c r="K73" s="123">
        <f t="shared" si="10"/>
        <v>114.33676292805778</v>
      </c>
    </row>
    <row r="74" spans="1:11" ht="15.75" x14ac:dyDescent="0.25">
      <c r="A74" s="111" t="s">
        <v>314</v>
      </c>
      <c r="B74" s="178"/>
      <c r="C74" s="112"/>
      <c r="D74" s="178"/>
      <c r="E74" s="112"/>
      <c r="F74" s="179"/>
      <c r="G74" s="113">
        <f>SUBTOTAL(9,G75:G78)</f>
        <v>10260000</v>
      </c>
      <c r="H74" s="114">
        <f t="shared" ref="H74:H139" si="11">+G74/$G$1</f>
        <v>15641.269168558305</v>
      </c>
      <c r="I74" s="171"/>
      <c r="J74" s="115">
        <f>SUBTOTAL(9,J75:J78)</f>
        <v>7820.6345842791534</v>
      </c>
      <c r="K74" s="116">
        <f>SUBTOTAL(9,K75:K78)</f>
        <v>7820.6345842791534</v>
      </c>
    </row>
    <row r="75" spans="1:11" ht="15.75" x14ac:dyDescent="0.25">
      <c r="A75" s="124" t="s">
        <v>315</v>
      </c>
      <c r="B75" s="126">
        <v>1</v>
      </c>
      <c r="C75" s="127" t="s">
        <v>207</v>
      </c>
      <c r="D75" s="126">
        <v>24</v>
      </c>
      <c r="E75" s="125" t="s">
        <v>30</v>
      </c>
      <c r="F75" s="121">
        <v>15000</v>
      </c>
      <c r="G75" s="121">
        <f>B75*D75*F75</f>
        <v>360000</v>
      </c>
      <c r="H75" s="123">
        <f t="shared" si="11"/>
        <v>548.81646205467734</v>
      </c>
      <c r="I75" s="171"/>
      <c r="J75" s="122">
        <f t="shared" ref="J75:K78" si="12">$H75/2</f>
        <v>274.40823102733867</v>
      </c>
      <c r="K75" s="123">
        <f t="shared" si="12"/>
        <v>274.40823102733867</v>
      </c>
    </row>
    <row r="76" spans="1:11" ht="15.75" x14ac:dyDescent="0.25">
      <c r="A76" s="124" t="s">
        <v>316</v>
      </c>
      <c r="B76" s="126">
        <v>1</v>
      </c>
      <c r="C76" s="127" t="s">
        <v>207</v>
      </c>
      <c r="D76" s="126">
        <v>9</v>
      </c>
      <c r="E76" s="125" t="s">
        <v>30</v>
      </c>
      <c r="F76" s="121">
        <v>500000</v>
      </c>
      <c r="G76" s="121">
        <f>B76*D76*F76</f>
        <v>4500000</v>
      </c>
      <c r="H76" s="123">
        <f t="shared" si="11"/>
        <v>6860.2057756834674</v>
      </c>
      <c r="I76" s="171"/>
      <c r="J76" s="122">
        <f t="shared" si="12"/>
        <v>3430.1028878417337</v>
      </c>
      <c r="K76" s="123">
        <f t="shared" si="12"/>
        <v>3430.1028878417337</v>
      </c>
    </row>
    <row r="77" spans="1:11" ht="15.75" x14ac:dyDescent="0.25">
      <c r="A77" s="124" t="s">
        <v>317</v>
      </c>
      <c r="B77" s="126">
        <v>1</v>
      </c>
      <c r="C77" s="127" t="s">
        <v>207</v>
      </c>
      <c r="D77" s="126">
        <v>15</v>
      </c>
      <c r="E77" s="125" t="s">
        <v>30</v>
      </c>
      <c r="F77" s="121">
        <v>200000</v>
      </c>
      <c r="G77" s="121">
        <f>B77*D77*F77</f>
        <v>3000000</v>
      </c>
      <c r="H77" s="123">
        <f t="shared" si="11"/>
        <v>4573.4705171223113</v>
      </c>
      <c r="I77" s="171"/>
      <c r="J77" s="122">
        <f t="shared" si="12"/>
        <v>2286.7352585611557</v>
      </c>
      <c r="K77" s="123">
        <f t="shared" si="12"/>
        <v>2286.7352585611557</v>
      </c>
    </row>
    <row r="78" spans="1:11" ht="15.75" x14ac:dyDescent="0.25">
      <c r="A78" s="124" t="s">
        <v>318</v>
      </c>
      <c r="B78" s="126">
        <v>1</v>
      </c>
      <c r="C78" s="127" t="s">
        <v>15</v>
      </c>
      <c r="D78" s="126">
        <v>24</v>
      </c>
      <c r="E78" s="125" t="s">
        <v>30</v>
      </c>
      <c r="F78" s="121">
        <v>100000</v>
      </c>
      <c r="G78" s="121">
        <f>B78*D78*F78</f>
        <v>2400000</v>
      </c>
      <c r="H78" s="123">
        <f>+G78/$G$1</f>
        <v>3658.776413697849</v>
      </c>
      <c r="I78" s="171"/>
      <c r="J78" s="122">
        <f t="shared" si="12"/>
        <v>1829.3882068489245</v>
      </c>
      <c r="K78" s="123">
        <f t="shared" si="12"/>
        <v>1829.3882068489245</v>
      </c>
    </row>
    <row r="79" spans="1:11" s="177" customFormat="1" ht="18" x14ac:dyDescent="0.25">
      <c r="A79" s="107" t="s">
        <v>80</v>
      </c>
      <c r="B79" s="109"/>
      <c r="C79" s="108"/>
      <c r="D79" s="109"/>
      <c r="E79" s="108"/>
      <c r="F79" s="110"/>
      <c r="G79" s="110">
        <f>SUBTOTAL(9,G80:G81)</f>
        <v>10495312</v>
      </c>
      <c r="H79" s="174">
        <f t="shared" si="11"/>
        <v>16000</v>
      </c>
      <c r="I79" s="175"/>
      <c r="J79" s="176">
        <f>SUBTOTAL(9,J80:J81)</f>
        <v>8000</v>
      </c>
      <c r="K79" s="174">
        <f>SUBTOTAL(9,K80:K81)</f>
        <v>8000</v>
      </c>
    </row>
    <row r="80" spans="1:11" ht="15.75" x14ac:dyDescent="0.25">
      <c r="A80" s="124" t="s">
        <v>319</v>
      </c>
      <c r="B80" s="126">
        <v>1</v>
      </c>
      <c r="C80" s="125" t="s">
        <v>15</v>
      </c>
      <c r="D80" s="126">
        <v>1</v>
      </c>
      <c r="E80" s="125" t="s">
        <v>16</v>
      </c>
      <c r="F80" s="121"/>
      <c r="G80" s="145">
        <f>8000*G1</f>
        <v>5247656</v>
      </c>
      <c r="H80" s="123">
        <f t="shared" si="11"/>
        <v>8000</v>
      </c>
      <c r="I80" s="171"/>
      <c r="J80" s="146">
        <f>$H80/2</f>
        <v>4000</v>
      </c>
      <c r="K80" s="147">
        <f>$H80/2</f>
        <v>4000</v>
      </c>
    </row>
    <row r="81" spans="1:11" ht="15.75" x14ac:dyDescent="0.25">
      <c r="A81" s="124" t="s">
        <v>320</v>
      </c>
      <c r="B81" s="126">
        <v>1</v>
      </c>
      <c r="C81" s="125" t="s">
        <v>15</v>
      </c>
      <c r="D81" s="126">
        <v>1</v>
      </c>
      <c r="E81" s="125" t="s">
        <v>16</v>
      </c>
      <c r="F81" s="121"/>
      <c r="G81" s="145">
        <f>8000*G1</f>
        <v>5247656</v>
      </c>
      <c r="H81" s="123">
        <f>+G81/$G$1</f>
        <v>8000</v>
      </c>
      <c r="I81" s="171"/>
      <c r="J81" s="146">
        <f>$H81/2</f>
        <v>4000</v>
      </c>
      <c r="K81" s="147">
        <f>$H81/2</f>
        <v>4000</v>
      </c>
    </row>
    <row r="82" spans="1:11" s="173" customFormat="1" ht="20.25" x14ac:dyDescent="0.25">
      <c r="A82" s="130" t="s">
        <v>321</v>
      </c>
      <c r="B82" s="132"/>
      <c r="C82" s="131"/>
      <c r="D82" s="132"/>
      <c r="E82" s="131"/>
      <c r="F82" s="133"/>
      <c r="G82" s="133">
        <f>SUM(G83+G104+G126)</f>
        <v>337738904</v>
      </c>
      <c r="H82" s="180">
        <f>+G82/$G$1</f>
        <v>514879.63997640088</v>
      </c>
      <c r="I82" s="171">
        <f>H82/$H$137</f>
        <v>0.53237141689123135</v>
      </c>
      <c r="J82" s="181">
        <f>SUM(J83+J104+J126)</f>
        <v>214269.68383598316</v>
      </c>
      <c r="K82" s="181">
        <f>SUM(K83+K104+K126)</f>
        <v>300609.95614041778</v>
      </c>
    </row>
    <row r="83" spans="1:11" s="177" customFormat="1" ht="144" x14ac:dyDescent="0.25">
      <c r="A83" s="107" t="s">
        <v>322</v>
      </c>
      <c r="B83" s="109"/>
      <c r="C83" s="108"/>
      <c r="D83" s="109"/>
      <c r="E83" s="108"/>
      <c r="F83" s="110"/>
      <c r="G83" s="110">
        <f>G84+G94+G102</f>
        <v>129600000</v>
      </c>
      <c r="H83" s="110">
        <f>H84+H94+H102</f>
        <v>197573.92633968388</v>
      </c>
      <c r="I83" s="175"/>
      <c r="J83" s="176">
        <f>J84+J94+J102</f>
        <v>197573.92633968385</v>
      </c>
      <c r="K83" s="176">
        <f>K84+K94+K102</f>
        <v>0</v>
      </c>
    </row>
    <row r="84" spans="1:11" ht="74.25" customHeight="1" x14ac:dyDescent="0.25">
      <c r="A84" s="111" t="s">
        <v>323</v>
      </c>
      <c r="B84" s="178"/>
      <c r="C84" s="112"/>
      <c r="D84" s="178"/>
      <c r="E84" s="112"/>
      <c r="F84" s="179"/>
      <c r="G84" s="113">
        <f>SUM(G85,G88,G92)</f>
        <v>16550000</v>
      </c>
      <c r="H84" s="113">
        <f t="shared" ref="H84:H117" si="13">+G84/$G$1</f>
        <v>25230.312352791418</v>
      </c>
      <c r="I84" s="171"/>
      <c r="J84" s="115">
        <f>SUM(J85,J88,J92)</f>
        <v>25230.312352791421</v>
      </c>
      <c r="K84" s="115">
        <f>SUM(K85,K88,K92)</f>
        <v>0</v>
      </c>
    </row>
    <row r="85" spans="1:11" s="182" customFormat="1" ht="15.75" x14ac:dyDescent="0.25">
      <c r="A85" s="265" t="s">
        <v>324</v>
      </c>
      <c r="B85" s="266"/>
      <c r="C85" s="267"/>
      <c r="D85" s="266"/>
      <c r="E85" s="267"/>
      <c r="F85" s="268"/>
      <c r="G85" s="268">
        <f>SUM(G86:G87)</f>
        <v>8350000</v>
      </c>
      <c r="H85" s="269">
        <f t="shared" si="13"/>
        <v>12729.492939323767</v>
      </c>
      <c r="I85" s="134"/>
      <c r="J85" s="270">
        <f>SUM(J86:J87)</f>
        <v>12729.492939323767</v>
      </c>
      <c r="K85" s="269">
        <f>SUM(K86:K87)</f>
        <v>0</v>
      </c>
    </row>
    <row r="86" spans="1:11" ht="45" x14ac:dyDescent="0.25">
      <c r="A86" s="124" t="s">
        <v>325</v>
      </c>
      <c r="B86" s="126">
        <v>1</v>
      </c>
      <c r="C86" s="125" t="s">
        <v>15</v>
      </c>
      <c r="D86" s="126">
        <v>1</v>
      </c>
      <c r="E86" s="125" t="s">
        <v>326</v>
      </c>
      <c r="F86" s="121">
        <v>5600000</v>
      </c>
      <c r="G86" s="121">
        <f t="shared" ref="G86:G101" si="14">+F86*D86*B86</f>
        <v>5600000</v>
      </c>
      <c r="H86" s="123">
        <f t="shared" si="13"/>
        <v>8537.1449652949814</v>
      </c>
      <c r="I86" s="134"/>
      <c r="J86" s="122">
        <f>H86</f>
        <v>8537.1449652949814</v>
      </c>
      <c r="K86" s="123"/>
    </row>
    <row r="87" spans="1:11" ht="60" x14ac:dyDescent="0.25">
      <c r="A87" s="124" t="s">
        <v>327</v>
      </c>
      <c r="B87" s="126">
        <v>1</v>
      </c>
      <c r="C87" s="125" t="s">
        <v>15</v>
      </c>
      <c r="D87" s="126">
        <v>1</v>
      </c>
      <c r="E87" s="125" t="s">
        <v>145</v>
      </c>
      <c r="F87" s="121">
        <v>2750000</v>
      </c>
      <c r="G87" s="121">
        <f t="shared" si="14"/>
        <v>2750000</v>
      </c>
      <c r="H87" s="123">
        <f t="shared" si="13"/>
        <v>4192.3479740287858</v>
      </c>
      <c r="I87" s="134"/>
      <c r="J87" s="122">
        <f>H87</f>
        <v>4192.3479740287858</v>
      </c>
      <c r="K87" s="123"/>
    </row>
    <row r="88" spans="1:11" s="182" customFormat="1" ht="113.25" customHeight="1" x14ac:dyDescent="0.25">
      <c r="A88" s="265" t="s">
        <v>328</v>
      </c>
      <c r="B88" s="266"/>
      <c r="C88" s="267"/>
      <c r="D88" s="266"/>
      <c r="E88" s="267"/>
      <c r="F88" s="268"/>
      <c r="G88" s="268">
        <f>SUM(G89:G91)</f>
        <v>4200000</v>
      </c>
      <c r="H88" s="269">
        <f t="shared" si="13"/>
        <v>6402.858723971236</v>
      </c>
      <c r="I88" s="134"/>
      <c r="J88" s="270">
        <f>SUM(J89:J91)</f>
        <v>6402.8587239712369</v>
      </c>
      <c r="K88" s="269">
        <f>SUM(K89:K91)</f>
        <v>0</v>
      </c>
    </row>
    <row r="89" spans="1:11" ht="15.75" x14ac:dyDescent="0.25">
      <c r="A89" s="124" t="s">
        <v>329</v>
      </c>
      <c r="B89" s="126">
        <v>1</v>
      </c>
      <c r="C89" s="125" t="s">
        <v>15</v>
      </c>
      <c r="D89" s="126">
        <v>1</v>
      </c>
      <c r="E89" s="125" t="s">
        <v>330</v>
      </c>
      <c r="F89" s="121">
        <v>1000000</v>
      </c>
      <c r="G89" s="121">
        <f t="shared" si="14"/>
        <v>1000000</v>
      </c>
      <c r="H89" s="123">
        <f t="shared" si="13"/>
        <v>1524.4901723741038</v>
      </c>
      <c r="I89" s="134"/>
      <c r="J89" s="122">
        <f>H89</f>
        <v>1524.4901723741038</v>
      </c>
      <c r="K89" s="123"/>
    </row>
    <row r="90" spans="1:11" ht="15.75" x14ac:dyDescent="0.25">
      <c r="A90" s="124" t="s">
        <v>331</v>
      </c>
      <c r="B90" s="126">
        <v>1</v>
      </c>
      <c r="C90" s="125" t="s">
        <v>15</v>
      </c>
      <c r="D90" s="126">
        <v>1</v>
      </c>
      <c r="E90" s="125" t="s">
        <v>145</v>
      </c>
      <c r="F90" s="121">
        <v>2750000</v>
      </c>
      <c r="G90" s="121">
        <f t="shared" si="14"/>
        <v>2750000</v>
      </c>
      <c r="H90" s="123">
        <f t="shared" si="13"/>
        <v>4192.3479740287858</v>
      </c>
      <c r="I90" s="134"/>
      <c r="J90" s="122">
        <f>H90</f>
        <v>4192.3479740287858</v>
      </c>
      <c r="K90" s="123"/>
    </row>
    <row r="91" spans="1:11" ht="30" x14ac:dyDescent="0.25">
      <c r="A91" s="124" t="s">
        <v>332</v>
      </c>
      <c r="B91" s="126">
        <v>1</v>
      </c>
      <c r="C91" s="125" t="s">
        <v>15</v>
      </c>
      <c r="D91" s="126">
        <v>30</v>
      </c>
      <c r="E91" s="125" t="s">
        <v>304</v>
      </c>
      <c r="F91" s="121">
        <v>15000</v>
      </c>
      <c r="G91" s="121">
        <f t="shared" si="14"/>
        <v>450000</v>
      </c>
      <c r="H91" s="123">
        <f t="shared" si="13"/>
        <v>686.02057756834677</v>
      </c>
      <c r="I91" s="134"/>
      <c r="J91" s="122">
        <f>H91</f>
        <v>686.02057756834677</v>
      </c>
      <c r="K91" s="123"/>
    </row>
    <row r="92" spans="1:11" s="182" customFormat="1" ht="31.5" x14ac:dyDescent="0.25">
      <c r="A92" s="265" t="s">
        <v>333</v>
      </c>
      <c r="B92" s="266"/>
      <c r="C92" s="267"/>
      <c r="D92" s="266"/>
      <c r="E92" s="267"/>
      <c r="F92" s="268"/>
      <c r="G92" s="268">
        <f>SUM(G93:G93)</f>
        <v>4000000</v>
      </c>
      <c r="H92" s="269">
        <f t="shared" si="13"/>
        <v>6097.9606894964154</v>
      </c>
      <c r="I92" s="134"/>
      <c r="J92" s="270">
        <f>SUM(J93:J93)</f>
        <v>6097.9606894964154</v>
      </c>
      <c r="K92" s="269">
        <f>SUM(K93:K93)</f>
        <v>0</v>
      </c>
    </row>
    <row r="93" spans="1:11" ht="49.5" customHeight="1" x14ac:dyDescent="0.25">
      <c r="A93" s="124" t="s">
        <v>334</v>
      </c>
      <c r="B93" s="126">
        <v>1</v>
      </c>
      <c r="C93" s="125" t="s">
        <v>15</v>
      </c>
      <c r="D93" s="126">
        <v>8</v>
      </c>
      <c r="E93" s="125" t="s">
        <v>335</v>
      </c>
      <c r="F93" s="121">
        <v>500000</v>
      </c>
      <c r="G93" s="121">
        <f t="shared" si="14"/>
        <v>4000000</v>
      </c>
      <c r="H93" s="123">
        <f t="shared" si="13"/>
        <v>6097.9606894964154</v>
      </c>
      <c r="I93" s="134"/>
      <c r="J93" s="122">
        <f>H93</f>
        <v>6097.9606894964154</v>
      </c>
      <c r="K93" s="123"/>
    </row>
    <row r="94" spans="1:11" ht="63.75" customHeight="1" x14ac:dyDescent="0.25">
      <c r="A94" s="111" t="s">
        <v>336</v>
      </c>
      <c r="B94" s="178"/>
      <c r="C94" s="112"/>
      <c r="D94" s="178"/>
      <c r="E94" s="112"/>
      <c r="F94" s="179"/>
      <c r="G94" s="113">
        <f>SUM(G95:G101)</f>
        <v>106800000</v>
      </c>
      <c r="H94" s="114">
        <f t="shared" si="13"/>
        <v>162815.5504095543</v>
      </c>
      <c r="I94" s="171"/>
      <c r="J94" s="115">
        <f>SUM(J95:J101)</f>
        <v>162815.55040955427</v>
      </c>
      <c r="K94" s="116">
        <f>SUM(K95:K101)</f>
        <v>0</v>
      </c>
    </row>
    <row r="95" spans="1:11" ht="30" x14ac:dyDescent="0.25">
      <c r="A95" s="128" t="s">
        <v>337</v>
      </c>
      <c r="B95" s="126">
        <v>2</v>
      </c>
      <c r="C95" s="125" t="s">
        <v>15</v>
      </c>
      <c r="D95" s="126">
        <v>6</v>
      </c>
      <c r="E95" s="125" t="s">
        <v>135</v>
      </c>
      <c r="F95" s="121">
        <v>500000</v>
      </c>
      <c r="G95" s="121">
        <f t="shared" si="14"/>
        <v>6000000</v>
      </c>
      <c r="H95" s="123">
        <f t="shared" si="13"/>
        <v>9146.9410342446226</v>
      </c>
      <c r="I95" s="171"/>
      <c r="J95" s="122">
        <f t="shared" ref="J95:J101" si="15">H95</f>
        <v>9146.9410342446226</v>
      </c>
      <c r="K95" s="123"/>
    </row>
    <row r="96" spans="1:11" ht="30" x14ac:dyDescent="0.25">
      <c r="A96" s="128" t="s">
        <v>338</v>
      </c>
      <c r="B96" s="126">
        <v>1</v>
      </c>
      <c r="C96" s="125" t="s">
        <v>15</v>
      </c>
      <c r="D96" s="126">
        <v>12</v>
      </c>
      <c r="E96" s="125" t="s">
        <v>339</v>
      </c>
      <c r="F96" s="121">
        <v>2500000</v>
      </c>
      <c r="G96" s="121">
        <f t="shared" si="14"/>
        <v>30000000</v>
      </c>
      <c r="H96" s="123">
        <f t="shared" si="13"/>
        <v>45734.705171223111</v>
      </c>
      <c r="I96" s="171"/>
      <c r="J96" s="122">
        <f t="shared" si="15"/>
        <v>45734.705171223111</v>
      </c>
      <c r="K96" s="123"/>
    </row>
    <row r="97" spans="1:12" ht="15.75" x14ac:dyDescent="0.25">
      <c r="A97" s="128" t="s">
        <v>340</v>
      </c>
      <c r="B97" s="126">
        <v>1</v>
      </c>
      <c r="C97" s="125" t="s">
        <v>15</v>
      </c>
      <c r="D97" s="126">
        <v>6</v>
      </c>
      <c r="E97" s="125" t="s">
        <v>341</v>
      </c>
      <c r="F97" s="121">
        <v>1750000</v>
      </c>
      <c r="G97" s="121">
        <f t="shared" si="14"/>
        <v>10500000</v>
      </c>
      <c r="H97" s="123">
        <f t="shared" si="13"/>
        <v>16007.14680992809</v>
      </c>
      <c r="I97" s="171"/>
      <c r="J97" s="122">
        <f t="shared" si="15"/>
        <v>16007.14680992809</v>
      </c>
      <c r="K97" s="123"/>
    </row>
    <row r="98" spans="1:12" ht="30" x14ac:dyDescent="0.25">
      <c r="A98" s="128" t="s">
        <v>342</v>
      </c>
      <c r="B98" s="126">
        <v>1</v>
      </c>
      <c r="C98" s="125" t="s">
        <v>15</v>
      </c>
      <c r="D98" s="126">
        <v>6</v>
      </c>
      <c r="E98" s="125" t="s">
        <v>343</v>
      </c>
      <c r="F98" s="121">
        <v>2500000</v>
      </c>
      <c r="G98" s="121">
        <f t="shared" si="14"/>
        <v>15000000</v>
      </c>
      <c r="H98" s="123">
        <f t="shared" si="13"/>
        <v>22867.352585611556</v>
      </c>
      <c r="I98" s="171"/>
      <c r="J98" s="122">
        <f t="shared" si="15"/>
        <v>22867.352585611556</v>
      </c>
      <c r="K98" s="123"/>
    </row>
    <row r="99" spans="1:12" ht="38.25" customHeight="1" x14ac:dyDescent="0.25">
      <c r="A99" s="128" t="s">
        <v>344</v>
      </c>
      <c r="B99" s="126">
        <v>4</v>
      </c>
      <c r="C99" s="125" t="s">
        <v>15</v>
      </c>
      <c r="D99" s="126">
        <v>1</v>
      </c>
      <c r="E99" s="125" t="s">
        <v>339</v>
      </c>
      <c r="F99" s="121">
        <v>700000</v>
      </c>
      <c r="G99" s="121">
        <f>+F99*D99*B99</f>
        <v>2800000</v>
      </c>
      <c r="H99" s="123">
        <f t="shared" si="13"/>
        <v>4268.5724826474907</v>
      </c>
      <c r="I99" s="171"/>
      <c r="J99" s="122">
        <f t="shared" si="15"/>
        <v>4268.5724826474907</v>
      </c>
      <c r="K99" s="123"/>
    </row>
    <row r="100" spans="1:12" ht="15.75" x14ac:dyDescent="0.25">
      <c r="A100" s="128" t="s">
        <v>345</v>
      </c>
      <c r="B100" s="126">
        <v>5</v>
      </c>
      <c r="C100" s="125" t="s">
        <v>15</v>
      </c>
      <c r="D100" s="126">
        <v>2</v>
      </c>
      <c r="E100" s="125" t="s">
        <v>346</v>
      </c>
      <c r="F100" s="121">
        <v>2000000</v>
      </c>
      <c r="G100" s="121">
        <f t="shared" si="14"/>
        <v>20000000</v>
      </c>
      <c r="H100" s="123">
        <f t="shared" si="13"/>
        <v>30489.803447482078</v>
      </c>
      <c r="I100" s="171"/>
      <c r="J100" s="122">
        <f t="shared" si="15"/>
        <v>30489.803447482078</v>
      </c>
      <c r="K100" s="123"/>
    </row>
    <row r="101" spans="1:12" ht="23.25" customHeight="1" x14ac:dyDescent="0.25">
      <c r="A101" s="128" t="s">
        <v>347</v>
      </c>
      <c r="B101" s="126">
        <v>5</v>
      </c>
      <c r="C101" s="125" t="s">
        <v>15</v>
      </c>
      <c r="D101" s="126">
        <v>3</v>
      </c>
      <c r="E101" s="125" t="s">
        <v>348</v>
      </c>
      <c r="F101" s="121">
        <v>1500000</v>
      </c>
      <c r="G101" s="121">
        <f t="shared" si="14"/>
        <v>22500000</v>
      </c>
      <c r="H101" s="123">
        <f t="shared" si="13"/>
        <v>34301.028878417339</v>
      </c>
      <c r="I101" s="171"/>
      <c r="J101" s="122">
        <f t="shared" si="15"/>
        <v>34301.028878417339</v>
      </c>
      <c r="K101" s="123"/>
    </row>
    <row r="102" spans="1:12" ht="54.75" customHeight="1" x14ac:dyDescent="0.25">
      <c r="A102" s="111" t="s">
        <v>349</v>
      </c>
      <c r="B102" s="178"/>
      <c r="C102" s="112"/>
      <c r="D102" s="178"/>
      <c r="E102" s="112"/>
      <c r="F102" s="179"/>
      <c r="G102" s="113">
        <f>SUM(G103:G103)</f>
        <v>6250000</v>
      </c>
      <c r="H102" s="114">
        <f t="shared" si="13"/>
        <v>9528.0635773381491</v>
      </c>
      <c r="I102" s="171"/>
      <c r="J102" s="115">
        <f>SUM(J103:J103)</f>
        <v>9528.0635773381491</v>
      </c>
      <c r="K102" s="116">
        <f>SUM(K103:K103)</f>
        <v>0</v>
      </c>
    </row>
    <row r="103" spans="1:12" ht="86.25" customHeight="1" x14ac:dyDescent="0.25">
      <c r="A103" s="128" t="s">
        <v>350</v>
      </c>
      <c r="B103" s="126">
        <v>5</v>
      </c>
      <c r="C103" s="125" t="s">
        <v>15</v>
      </c>
      <c r="D103" s="126">
        <v>1</v>
      </c>
      <c r="E103" s="125" t="s">
        <v>15</v>
      </c>
      <c r="F103" s="121">
        <v>1250000</v>
      </c>
      <c r="G103" s="121">
        <f>+F103*D103*B103</f>
        <v>6250000</v>
      </c>
      <c r="H103" s="123">
        <f t="shared" si="13"/>
        <v>9528.0635773381491</v>
      </c>
      <c r="I103" s="171"/>
      <c r="J103" s="122">
        <f>H103</f>
        <v>9528.0635773381491</v>
      </c>
      <c r="K103" s="123"/>
    </row>
    <row r="104" spans="1:12" s="177" customFormat="1" ht="138" customHeight="1" x14ac:dyDescent="0.25">
      <c r="A104" s="274" t="s">
        <v>351</v>
      </c>
      <c r="B104" s="109"/>
      <c r="C104" s="108"/>
      <c r="D104" s="109"/>
      <c r="E104" s="108"/>
      <c r="F104" s="110"/>
      <c r="G104" s="110">
        <f>G105+G107+G110+G115+G123</f>
        <v>186795506</v>
      </c>
      <c r="H104" s="174">
        <f t="shared" si="13"/>
        <v>284767.91314064793</v>
      </c>
      <c r="I104" s="171"/>
      <c r="J104" s="176">
        <f>SUM(J105+J107+J110+J115+J123)</f>
        <v>0</v>
      </c>
      <c r="K104" s="176">
        <f>SUM(K105+K107+K110+K115+K123)</f>
        <v>284767.91314064799</v>
      </c>
      <c r="L104" s="177" t="s">
        <v>352</v>
      </c>
    </row>
    <row r="105" spans="1:12" ht="48" customHeight="1" x14ac:dyDescent="0.25">
      <c r="A105" s="111" t="s">
        <v>353</v>
      </c>
      <c r="B105" s="178"/>
      <c r="C105" s="112"/>
      <c r="D105" s="178"/>
      <c r="E105" s="112"/>
      <c r="F105" s="179"/>
      <c r="G105" s="113">
        <f>SUM(G106:G106)</f>
        <v>3500000</v>
      </c>
      <c r="H105" s="114">
        <f t="shared" si="13"/>
        <v>5335.7156033093634</v>
      </c>
      <c r="I105" s="171"/>
      <c r="J105" s="115">
        <f>SUM(J106:J106)</f>
        <v>0</v>
      </c>
      <c r="K105" s="116">
        <f>SUM(K106:K106)</f>
        <v>5335.7156033093634</v>
      </c>
    </row>
    <row r="106" spans="1:12" ht="15.75" x14ac:dyDescent="0.25">
      <c r="A106" s="128" t="s">
        <v>354</v>
      </c>
      <c r="B106" s="126">
        <v>1</v>
      </c>
      <c r="C106" s="125" t="s">
        <v>207</v>
      </c>
      <c r="D106" s="126">
        <v>1</v>
      </c>
      <c r="E106" s="125" t="s">
        <v>15</v>
      </c>
      <c r="F106" s="121">
        <v>3500000</v>
      </c>
      <c r="G106" s="121">
        <f>+F106*D106*B106</f>
        <v>3500000</v>
      </c>
      <c r="H106" s="123">
        <f t="shared" si="13"/>
        <v>5335.7156033093634</v>
      </c>
      <c r="I106" s="171"/>
      <c r="J106" s="122"/>
      <c r="K106" s="123">
        <f>H106</f>
        <v>5335.7156033093634</v>
      </c>
    </row>
    <row r="107" spans="1:12" ht="52.5" customHeight="1" x14ac:dyDescent="0.25">
      <c r="A107" s="111" t="s">
        <v>355</v>
      </c>
      <c r="B107" s="178"/>
      <c r="C107" s="112"/>
      <c r="D107" s="178"/>
      <c r="E107" s="112"/>
      <c r="F107" s="179"/>
      <c r="G107" s="113">
        <f>SUM(G108:G109)</f>
        <v>3450000</v>
      </c>
      <c r="H107" s="114">
        <f t="shared" si="13"/>
        <v>5259.4910946906584</v>
      </c>
      <c r="I107" s="171"/>
      <c r="J107" s="115">
        <f>SUM(J108:J109)</f>
        <v>0</v>
      </c>
      <c r="K107" s="116">
        <f>SUM(K108:K109)</f>
        <v>5259.4910946906584</v>
      </c>
    </row>
    <row r="108" spans="1:12" ht="15.75" x14ac:dyDescent="0.25">
      <c r="A108" s="128" t="s">
        <v>356</v>
      </c>
      <c r="B108" s="126">
        <v>1</v>
      </c>
      <c r="C108" s="125" t="s">
        <v>207</v>
      </c>
      <c r="D108" s="126">
        <v>1</v>
      </c>
      <c r="E108" s="125" t="s">
        <v>15</v>
      </c>
      <c r="F108" s="121">
        <v>2000000</v>
      </c>
      <c r="G108" s="121">
        <f>+F108*D108*B108</f>
        <v>2000000</v>
      </c>
      <c r="H108" s="123">
        <f t="shared" si="13"/>
        <v>3048.9803447482077</v>
      </c>
      <c r="I108" s="171"/>
      <c r="J108" s="122"/>
      <c r="K108" s="123">
        <f>H108</f>
        <v>3048.9803447482077</v>
      </c>
    </row>
    <row r="109" spans="1:12" ht="15.75" x14ac:dyDescent="0.25">
      <c r="A109" s="128" t="s">
        <v>357</v>
      </c>
      <c r="B109" s="126">
        <v>1</v>
      </c>
      <c r="C109" s="125" t="s">
        <v>207</v>
      </c>
      <c r="D109" s="126">
        <v>1</v>
      </c>
      <c r="E109" s="125" t="s">
        <v>15</v>
      </c>
      <c r="F109" s="121">
        <v>1450000</v>
      </c>
      <c r="G109" s="121">
        <f>+F109*D109*B109</f>
        <v>1450000</v>
      </c>
      <c r="H109" s="123">
        <f t="shared" si="13"/>
        <v>2210.5107499424507</v>
      </c>
      <c r="I109" s="171"/>
      <c r="J109" s="122"/>
      <c r="K109" s="123">
        <f>H109</f>
        <v>2210.5107499424507</v>
      </c>
    </row>
    <row r="110" spans="1:12" ht="50.25" customHeight="1" x14ac:dyDescent="0.25">
      <c r="A110" s="111" t="s">
        <v>358</v>
      </c>
      <c r="B110" s="178"/>
      <c r="C110" s="112"/>
      <c r="D110" s="178"/>
      <c r="E110" s="112"/>
      <c r="F110" s="179"/>
      <c r="G110" s="113">
        <f>SUM(G111:G114)</f>
        <v>25119140</v>
      </c>
      <c r="H110" s="114">
        <f>+G110/$G$1</f>
        <v>38293.882068489249</v>
      </c>
      <c r="I110" s="171"/>
      <c r="J110" s="115">
        <f>SUM(J111:J112)</f>
        <v>0</v>
      </c>
      <c r="K110" s="116">
        <f>SUM(K111:K114)</f>
        <v>38293.882068489242</v>
      </c>
    </row>
    <row r="111" spans="1:12" ht="15.75" x14ac:dyDescent="0.25">
      <c r="A111" s="128" t="s">
        <v>359</v>
      </c>
      <c r="B111" s="126">
        <v>1</v>
      </c>
      <c r="C111" s="125" t="s">
        <v>15</v>
      </c>
      <c r="D111" s="126">
        <v>4</v>
      </c>
      <c r="E111" s="125" t="s">
        <v>339</v>
      </c>
      <c r="F111" s="121">
        <v>1500000</v>
      </c>
      <c r="G111" s="121">
        <f>+F111*D111*B111</f>
        <v>6000000</v>
      </c>
      <c r="H111" s="123">
        <f t="shared" si="13"/>
        <v>9146.9410342446226</v>
      </c>
      <c r="I111" s="171"/>
      <c r="J111" s="122"/>
      <c r="K111" s="123">
        <f>H111</f>
        <v>9146.9410342446226</v>
      </c>
    </row>
    <row r="112" spans="1:12" ht="15.75" x14ac:dyDescent="0.25">
      <c r="A112" s="128" t="s">
        <v>340</v>
      </c>
      <c r="B112" s="126">
        <v>1</v>
      </c>
      <c r="C112" s="125" t="s">
        <v>15</v>
      </c>
      <c r="D112" s="126">
        <v>4</v>
      </c>
      <c r="E112" s="125" t="s">
        <v>341</v>
      </c>
      <c r="F112" s="121">
        <v>1500000</v>
      </c>
      <c r="G112" s="121">
        <f>+F112*D112*B112</f>
        <v>6000000</v>
      </c>
      <c r="H112" s="123">
        <f t="shared" si="13"/>
        <v>9146.9410342446226</v>
      </c>
      <c r="I112" s="171"/>
      <c r="J112" s="122"/>
      <c r="K112" s="123">
        <f>H112</f>
        <v>9146.9410342446226</v>
      </c>
    </row>
    <row r="113" spans="1:11" ht="15.75" x14ac:dyDescent="0.25">
      <c r="A113" s="128" t="s">
        <v>147</v>
      </c>
      <c r="B113" s="126">
        <v>1</v>
      </c>
      <c r="C113" s="125" t="s">
        <v>207</v>
      </c>
      <c r="D113" s="126">
        <v>1</v>
      </c>
      <c r="E113" s="125" t="s">
        <v>15</v>
      </c>
      <c r="F113" s="121">
        <v>6559570</v>
      </c>
      <c r="G113" s="121">
        <f t="shared" ref="G113:G114" si="16">+F113*D113*B113</f>
        <v>6559570</v>
      </c>
      <c r="H113" s="123">
        <f t="shared" si="13"/>
        <v>10000</v>
      </c>
      <c r="I113" s="171"/>
      <c r="J113" s="122"/>
      <c r="K113" s="123">
        <f t="shared" ref="K113:K114" si="17">H113</f>
        <v>10000</v>
      </c>
    </row>
    <row r="114" spans="1:11" ht="15.75" x14ac:dyDescent="0.25">
      <c r="A114" s="128" t="s">
        <v>360</v>
      </c>
      <c r="B114" s="126">
        <v>1</v>
      </c>
      <c r="C114" s="125" t="s">
        <v>207</v>
      </c>
      <c r="D114" s="126">
        <v>1</v>
      </c>
      <c r="E114" s="125" t="s">
        <v>15</v>
      </c>
      <c r="F114" s="121">
        <v>6559570</v>
      </c>
      <c r="G114" s="121">
        <f t="shared" si="16"/>
        <v>6559570</v>
      </c>
      <c r="H114" s="123">
        <f t="shared" si="13"/>
        <v>10000</v>
      </c>
      <c r="I114" s="171"/>
      <c r="J114" s="122"/>
      <c r="K114" s="123">
        <f t="shared" si="17"/>
        <v>10000</v>
      </c>
    </row>
    <row r="115" spans="1:11" ht="66" customHeight="1" x14ac:dyDescent="0.25">
      <c r="A115" s="111" t="s">
        <v>361</v>
      </c>
      <c r="B115" s="178"/>
      <c r="C115" s="112"/>
      <c r="D115" s="178"/>
      <c r="E115" s="112"/>
      <c r="F115" s="179"/>
      <c r="G115" s="113">
        <f>SUM(G116:G122)</f>
        <v>146926366</v>
      </c>
      <c r="H115" s="114">
        <f>+G115/$G$1</f>
        <v>223987.80102964066</v>
      </c>
      <c r="I115" s="171"/>
      <c r="J115" s="115">
        <f>SUM(J116:J120)</f>
        <v>0</v>
      </c>
      <c r="K115" s="116">
        <f>SUM(K116:K122)</f>
        <v>223987.80102964069</v>
      </c>
    </row>
    <row r="116" spans="1:11" ht="32.25" customHeight="1" x14ac:dyDescent="0.25">
      <c r="A116" s="128" t="s">
        <v>362</v>
      </c>
      <c r="B116" s="126">
        <v>2</v>
      </c>
      <c r="C116" s="125" t="s">
        <v>363</v>
      </c>
      <c r="D116" s="126">
        <v>1000</v>
      </c>
      <c r="E116" s="125" t="s">
        <v>364</v>
      </c>
      <c r="F116" s="121">
        <v>32500</v>
      </c>
      <c r="G116" s="121">
        <f t="shared" ref="G116:G122" si="18">+F116*D116*B116</f>
        <v>65000000</v>
      </c>
      <c r="H116" s="123">
        <f t="shared" si="13"/>
        <v>99091.861204316752</v>
      </c>
      <c r="I116" s="171"/>
      <c r="J116" s="122"/>
      <c r="K116" s="123">
        <f t="shared" ref="K116:K122" si="19">H116</f>
        <v>99091.861204316752</v>
      </c>
    </row>
    <row r="117" spans="1:11" ht="28.5" customHeight="1" x14ac:dyDescent="0.25">
      <c r="A117" s="128" t="s">
        <v>365</v>
      </c>
      <c r="B117" s="126">
        <v>2</v>
      </c>
      <c r="C117" s="125" t="s">
        <v>363</v>
      </c>
      <c r="D117" s="126">
        <v>200</v>
      </c>
      <c r="E117" s="125" t="s">
        <v>364</v>
      </c>
      <c r="F117" s="121">
        <v>75000</v>
      </c>
      <c r="G117" s="121">
        <f t="shared" si="18"/>
        <v>30000000</v>
      </c>
      <c r="H117" s="123">
        <f t="shared" si="13"/>
        <v>45734.705171223111</v>
      </c>
      <c r="I117" s="171"/>
      <c r="J117" s="122"/>
      <c r="K117" s="123">
        <f t="shared" si="19"/>
        <v>45734.705171223111</v>
      </c>
    </row>
    <row r="118" spans="1:11" ht="15.75" x14ac:dyDescent="0.25">
      <c r="A118" s="128" t="s">
        <v>366</v>
      </c>
      <c r="B118" s="126">
        <v>4</v>
      </c>
      <c r="C118" s="125" t="s">
        <v>363</v>
      </c>
      <c r="D118" s="126">
        <v>1</v>
      </c>
      <c r="E118" s="125" t="s">
        <v>15</v>
      </c>
      <c r="F118" s="121">
        <f>(SUM(G116:G117)*20%)/4</f>
        <v>4750000</v>
      </c>
      <c r="G118" s="121">
        <f t="shared" si="18"/>
        <v>19000000</v>
      </c>
      <c r="H118" s="123">
        <f t="shared" ref="H118:H138" si="20">+G118/$G$1</f>
        <v>28965.313275107972</v>
      </c>
      <c r="I118" s="171"/>
      <c r="J118" s="122"/>
      <c r="K118" s="123">
        <f t="shared" si="19"/>
        <v>28965.313275107972</v>
      </c>
    </row>
    <row r="119" spans="1:11" ht="15.75" x14ac:dyDescent="0.25">
      <c r="A119" s="128" t="s">
        <v>367</v>
      </c>
      <c r="B119" s="126">
        <v>4</v>
      </c>
      <c r="C119" s="125" t="s">
        <v>207</v>
      </c>
      <c r="D119" s="126">
        <v>1</v>
      </c>
      <c r="E119" s="125" t="s">
        <v>15</v>
      </c>
      <c r="F119" s="121">
        <v>1500000</v>
      </c>
      <c r="G119" s="121">
        <f t="shared" si="18"/>
        <v>6000000</v>
      </c>
      <c r="H119" s="123">
        <f t="shared" si="20"/>
        <v>9146.9410342446226</v>
      </c>
      <c r="I119" s="171"/>
      <c r="J119" s="122"/>
      <c r="K119" s="123">
        <f t="shared" si="19"/>
        <v>9146.9410342446226</v>
      </c>
    </row>
    <row r="120" spans="1:11" ht="15.75" x14ac:dyDescent="0.25">
      <c r="A120" s="128" t="s">
        <v>368</v>
      </c>
      <c r="B120" s="126">
        <v>1</v>
      </c>
      <c r="C120" s="125" t="s">
        <v>207</v>
      </c>
      <c r="D120" s="126">
        <v>1</v>
      </c>
      <c r="E120" s="125" t="s">
        <v>15</v>
      </c>
      <c r="F120" s="121">
        <v>2000000</v>
      </c>
      <c r="G120" s="121">
        <f t="shared" si="18"/>
        <v>2000000</v>
      </c>
      <c r="H120" s="123">
        <f t="shared" si="20"/>
        <v>3048.9803447482077</v>
      </c>
      <c r="I120" s="171"/>
      <c r="J120" s="122"/>
      <c r="K120" s="123">
        <f t="shared" si="19"/>
        <v>3048.9803447482077</v>
      </c>
    </row>
    <row r="121" spans="1:11" ht="15.75" x14ac:dyDescent="0.25">
      <c r="A121" s="128" t="s">
        <v>215</v>
      </c>
      <c r="B121" s="126">
        <v>1</v>
      </c>
      <c r="C121" s="125" t="s">
        <v>207</v>
      </c>
      <c r="D121" s="126">
        <v>1</v>
      </c>
      <c r="E121" s="125" t="s">
        <v>15</v>
      </c>
      <c r="F121" s="121">
        <f>10000*G1</f>
        <v>6559570</v>
      </c>
      <c r="G121" s="121">
        <f t="shared" si="18"/>
        <v>6559570</v>
      </c>
      <c r="H121" s="123">
        <f t="shared" si="20"/>
        <v>10000</v>
      </c>
      <c r="I121" s="171"/>
      <c r="J121" s="122"/>
      <c r="K121" s="123">
        <f t="shared" si="19"/>
        <v>10000</v>
      </c>
    </row>
    <row r="122" spans="1:11" ht="15.75" x14ac:dyDescent="0.25">
      <c r="A122" s="128" t="s">
        <v>137</v>
      </c>
      <c r="B122" s="126">
        <v>1</v>
      </c>
      <c r="C122" s="125" t="s">
        <v>207</v>
      </c>
      <c r="D122" s="126">
        <v>1</v>
      </c>
      <c r="E122" s="125" t="s">
        <v>15</v>
      </c>
      <c r="F122" s="121">
        <v>18366796</v>
      </c>
      <c r="G122" s="121">
        <f t="shared" si="18"/>
        <v>18366796</v>
      </c>
      <c r="H122" s="123">
        <f t="shared" si="20"/>
        <v>28000</v>
      </c>
      <c r="I122" s="171"/>
      <c r="J122" s="122"/>
      <c r="K122" s="123">
        <f t="shared" si="19"/>
        <v>28000</v>
      </c>
    </row>
    <row r="123" spans="1:11" ht="63" x14ac:dyDescent="0.25">
      <c r="A123" s="111" t="s">
        <v>369</v>
      </c>
      <c r="B123" s="178"/>
      <c r="C123" s="112"/>
      <c r="D123" s="178"/>
      <c r="E123" s="112"/>
      <c r="F123" s="179"/>
      <c r="G123" s="113">
        <f>SUM(G124:G125)</f>
        <v>7800000</v>
      </c>
      <c r="H123" s="114">
        <f t="shared" si="20"/>
        <v>11891.023344518009</v>
      </c>
      <c r="I123" s="171"/>
      <c r="J123" s="115">
        <f>SUM(J124:J125)</f>
        <v>0</v>
      </c>
      <c r="K123" s="116">
        <f>SUM(K124:K125)</f>
        <v>11891.023344518009</v>
      </c>
    </row>
    <row r="124" spans="1:11" ht="15.75" x14ac:dyDescent="0.25">
      <c r="A124" s="128" t="s">
        <v>370</v>
      </c>
      <c r="B124" s="126">
        <v>1</v>
      </c>
      <c r="C124" s="125" t="s">
        <v>15</v>
      </c>
      <c r="D124" s="126">
        <v>24</v>
      </c>
      <c r="E124" s="125" t="s">
        <v>371</v>
      </c>
      <c r="F124" s="121">
        <v>250000</v>
      </c>
      <c r="G124" s="121">
        <f>+F124*D124*B124</f>
        <v>6000000</v>
      </c>
      <c r="H124" s="123">
        <f t="shared" si="20"/>
        <v>9146.9410342446226</v>
      </c>
      <c r="I124" s="171"/>
      <c r="J124" s="122"/>
      <c r="K124" s="123">
        <f>H124</f>
        <v>9146.9410342446226</v>
      </c>
    </row>
    <row r="125" spans="1:11" ht="30" x14ac:dyDescent="0.25">
      <c r="A125" s="128" t="s">
        <v>372</v>
      </c>
      <c r="B125" s="126">
        <v>1</v>
      </c>
      <c r="C125" s="125" t="s">
        <v>15</v>
      </c>
      <c r="D125" s="126">
        <v>24</v>
      </c>
      <c r="E125" s="125" t="s">
        <v>373</v>
      </c>
      <c r="F125" s="121">
        <v>75000</v>
      </c>
      <c r="G125" s="121">
        <f>+F125*D125*B125</f>
        <v>1800000</v>
      </c>
      <c r="H125" s="123">
        <f t="shared" si="20"/>
        <v>2744.0823102733871</v>
      </c>
      <c r="I125" s="171"/>
      <c r="J125" s="122"/>
      <c r="K125" s="123">
        <f>H125</f>
        <v>2744.0823102733871</v>
      </c>
    </row>
    <row r="126" spans="1:11" s="177" customFormat="1" ht="18" x14ac:dyDescent="0.25">
      <c r="A126" s="107" t="s">
        <v>374</v>
      </c>
      <c r="B126" s="109"/>
      <c r="C126" s="108"/>
      <c r="D126" s="109"/>
      <c r="E126" s="108"/>
      <c r="F126" s="110"/>
      <c r="G126" s="110">
        <f>SUM(G127+G130+G133+G135+G136)</f>
        <v>21343398</v>
      </c>
      <c r="H126" s="174">
        <f>+G126/$G$1</f>
        <v>32537.800496069103</v>
      </c>
      <c r="I126" s="171"/>
      <c r="J126" s="176">
        <f>SUM(J127+J130+J133+J135+J136)</f>
        <v>16695.757496299302</v>
      </c>
      <c r="K126" s="176">
        <f>SUM(K127+K130+K133+K135+K136)</f>
        <v>15842.042999769801</v>
      </c>
    </row>
    <row r="127" spans="1:11" ht="15.75" x14ac:dyDescent="0.25">
      <c r="A127" s="135" t="s">
        <v>375</v>
      </c>
      <c r="B127" s="183"/>
      <c r="C127" s="136"/>
      <c r="D127" s="183"/>
      <c r="E127" s="136"/>
      <c r="F127" s="184"/>
      <c r="G127" s="137">
        <f>SUM(G128:G129)</f>
        <v>5200000</v>
      </c>
      <c r="H127" s="138">
        <f t="shared" si="20"/>
        <v>7927.3488963453401</v>
      </c>
      <c r="I127" s="171"/>
      <c r="J127" s="139">
        <f>SUM(J128:J129)</f>
        <v>6341.8791170762725</v>
      </c>
      <c r="K127" s="140">
        <f>SUM(K128:K129)</f>
        <v>1585.4697792690681</v>
      </c>
    </row>
    <row r="128" spans="1:11" ht="15.75" x14ac:dyDescent="0.25">
      <c r="A128" s="141" t="s">
        <v>376</v>
      </c>
      <c r="B128" s="126">
        <v>8</v>
      </c>
      <c r="C128" s="127" t="s">
        <v>377</v>
      </c>
      <c r="D128" s="126">
        <v>6</v>
      </c>
      <c r="E128" s="125" t="s">
        <v>65</v>
      </c>
      <c r="F128" s="121">
        <v>25000</v>
      </c>
      <c r="G128" s="121">
        <f>+F128*D128*B128</f>
        <v>1200000</v>
      </c>
      <c r="H128" s="123">
        <f t="shared" si="20"/>
        <v>1829.3882068489245</v>
      </c>
      <c r="I128" s="171"/>
      <c r="J128" s="122">
        <f>$H128*80%</f>
        <v>1463.5105654791396</v>
      </c>
      <c r="K128" s="123">
        <f>$H128*20%</f>
        <v>365.8776413697849</v>
      </c>
    </row>
    <row r="129" spans="1:11" ht="15.75" x14ac:dyDescent="0.25">
      <c r="A129" s="141" t="s">
        <v>378</v>
      </c>
      <c r="B129" s="126">
        <v>8</v>
      </c>
      <c r="C129" s="127" t="s">
        <v>377</v>
      </c>
      <c r="D129" s="126">
        <v>2</v>
      </c>
      <c r="E129" s="125" t="s">
        <v>124</v>
      </c>
      <c r="F129" s="121">
        <v>250000</v>
      </c>
      <c r="G129" s="121">
        <f>+F129*D129*B129</f>
        <v>4000000</v>
      </c>
      <c r="H129" s="123">
        <f t="shared" si="20"/>
        <v>6097.9606894964154</v>
      </c>
      <c r="I129" s="171"/>
      <c r="J129" s="122">
        <f>$H129*80%</f>
        <v>4878.3685515971329</v>
      </c>
      <c r="K129" s="123">
        <f>$H129*20%</f>
        <v>1219.5921378992832</v>
      </c>
    </row>
    <row r="130" spans="1:11" ht="15.75" x14ac:dyDescent="0.25">
      <c r="A130" s="135" t="s">
        <v>379</v>
      </c>
      <c r="B130" s="183"/>
      <c r="C130" s="136"/>
      <c r="D130" s="183"/>
      <c r="E130" s="136"/>
      <c r="F130" s="184"/>
      <c r="G130" s="137">
        <f>SUM(G131:G132)</f>
        <v>1600000</v>
      </c>
      <c r="H130" s="138">
        <f t="shared" si="20"/>
        <v>2439.184275798566</v>
      </c>
      <c r="I130" s="171"/>
      <c r="J130" s="139">
        <f>SUM(J131:J132)</f>
        <v>0</v>
      </c>
      <c r="K130" s="140">
        <f>SUM(K131:K132)</f>
        <v>2439.184275798566</v>
      </c>
    </row>
    <row r="131" spans="1:11" ht="30" x14ac:dyDescent="0.25">
      <c r="A131" s="142" t="s">
        <v>380</v>
      </c>
      <c r="B131" s="126">
        <v>8</v>
      </c>
      <c r="C131" s="127" t="s">
        <v>377</v>
      </c>
      <c r="D131" s="126">
        <f>3*2</f>
        <v>6</v>
      </c>
      <c r="E131" s="125" t="s">
        <v>65</v>
      </c>
      <c r="F131" s="121">
        <v>25000</v>
      </c>
      <c r="G131" s="121">
        <f>+F131*D131*B131</f>
        <v>1200000</v>
      </c>
      <c r="H131" s="123">
        <f t="shared" si="20"/>
        <v>1829.3882068489245</v>
      </c>
      <c r="I131" s="171"/>
      <c r="J131" s="122"/>
      <c r="K131" s="123">
        <f>H131</f>
        <v>1829.3882068489245</v>
      </c>
    </row>
    <row r="132" spans="1:11" ht="15.75" x14ac:dyDescent="0.25">
      <c r="A132" s="142" t="s">
        <v>381</v>
      </c>
      <c r="B132" s="126">
        <v>8</v>
      </c>
      <c r="C132" s="127" t="s">
        <v>377</v>
      </c>
      <c r="D132" s="126">
        <v>1</v>
      </c>
      <c r="E132" s="125" t="s">
        <v>15</v>
      </c>
      <c r="F132" s="121">
        <v>50000</v>
      </c>
      <c r="G132" s="121">
        <f>+F132*D132*B132</f>
        <v>400000</v>
      </c>
      <c r="H132" s="123">
        <f t="shared" si="20"/>
        <v>609.79606894964149</v>
      </c>
      <c r="I132" s="171"/>
      <c r="J132" s="122"/>
      <c r="K132" s="123">
        <f>H132</f>
        <v>609.79606894964149</v>
      </c>
    </row>
    <row r="133" spans="1:11" ht="15.75" x14ac:dyDescent="0.25">
      <c r="A133" s="135" t="s">
        <v>382</v>
      </c>
      <c r="B133" s="183"/>
      <c r="C133" s="136"/>
      <c r="D133" s="183"/>
      <c r="E133" s="136"/>
      <c r="F133" s="184"/>
      <c r="G133" s="137">
        <f>G134</f>
        <v>960000</v>
      </c>
      <c r="H133" s="138">
        <f t="shared" si="20"/>
        <v>1463.5105654791396</v>
      </c>
      <c r="I133" s="171"/>
      <c r="J133" s="139">
        <f>J134</f>
        <v>0</v>
      </c>
      <c r="K133" s="140">
        <f>K134</f>
        <v>1463.5105654791396</v>
      </c>
    </row>
    <row r="134" spans="1:11" ht="15.75" x14ac:dyDescent="0.25">
      <c r="A134" s="129" t="s">
        <v>383</v>
      </c>
      <c r="B134" s="126">
        <v>8</v>
      </c>
      <c r="C134" s="127" t="s">
        <v>377</v>
      </c>
      <c r="D134" s="126">
        <v>2</v>
      </c>
      <c r="E134" s="125" t="s">
        <v>59</v>
      </c>
      <c r="F134" s="121">
        <v>60000</v>
      </c>
      <c r="G134" s="121">
        <f>+F134*D134*B134</f>
        <v>960000</v>
      </c>
      <c r="H134" s="123">
        <f t="shared" si="20"/>
        <v>1463.5105654791396</v>
      </c>
      <c r="I134" s="171"/>
      <c r="J134" s="122"/>
      <c r="K134" s="123">
        <f>H134</f>
        <v>1463.5105654791396</v>
      </c>
    </row>
    <row r="135" spans="1:11" ht="30" x14ac:dyDescent="0.25">
      <c r="A135" s="257" t="s">
        <v>144</v>
      </c>
      <c r="B135" s="271">
        <v>1</v>
      </c>
      <c r="C135" s="272" t="s">
        <v>15</v>
      </c>
      <c r="D135" s="271">
        <v>2</v>
      </c>
      <c r="E135" s="273" t="s">
        <v>59</v>
      </c>
      <c r="F135" s="258">
        <v>2200000</v>
      </c>
      <c r="G135" s="258">
        <f>+F135*D135*B135</f>
        <v>4400000</v>
      </c>
      <c r="H135" s="143">
        <f>+G135/$G$1</f>
        <v>6707.7567584460567</v>
      </c>
      <c r="I135" s="171"/>
      <c r="J135" s="263">
        <f>H135/2</f>
        <v>3353.8783792230283</v>
      </c>
      <c r="K135" s="143">
        <f>H135/2</f>
        <v>3353.8783792230283</v>
      </c>
    </row>
    <row r="136" spans="1:11" ht="33" customHeight="1" thickBot="1" x14ac:dyDescent="0.3">
      <c r="A136" s="128" t="s">
        <v>146</v>
      </c>
      <c r="B136" s="126">
        <v>1</v>
      </c>
      <c r="C136" s="125" t="s">
        <v>15</v>
      </c>
      <c r="D136" s="126">
        <v>1</v>
      </c>
      <c r="E136" s="125" t="s">
        <v>15</v>
      </c>
      <c r="F136" s="121">
        <v>9183398</v>
      </c>
      <c r="G136" s="121">
        <f t="shared" ref="G136" si="21">+F136*D136*B136</f>
        <v>9183398</v>
      </c>
      <c r="H136" s="123">
        <f>+G136/$G$1</f>
        <v>14000</v>
      </c>
      <c r="I136" s="171"/>
      <c r="J136" s="263">
        <f>H136/2</f>
        <v>7000</v>
      </c>
      <c r="K136" s="143">
        <f>H136/2</f>
        <v>7000</v>
      </c>
    </row>
    <row r="137" spans="1:11" s="173" customFormat="1" ht="21" thickBot="1" x14ac:dyDescent="0.3">
      <c r="A137" s="256" t="s">
        <v>384</v>
      </c>
      <c r="B137" s="149"/>
      <c r="C137" s="148"/>
      <c r="D137" s="149"/>
      <c r="E137" s="148"/>
      <c r="F137" s="148"/>
      <c r="G137" s="188">
        <f>SUM(G4,G24,G45,G82)</f>
        <v>634404653</v>
      </c>
      <c r="H137" s="189">
        <f t="shared" si="20"/>
        <v>967143.65880690352</v>
      </c>
      <c r="I137" s="171"/>
      <c r="J137" s="190">
        <f>SUM(J4+J24+J45+J82)</f>
        <v>514124.9073237016</v>
      </c>
      <c r="K137" s="190">
        <f>SUM(K4+K24+K45+K82)</f>
        <v>453018.75148320192</v>
      </c>
    </row>
    <row r="138" spans="1:11" ht="16.5" thickBot="1" x14ac:dyDescent="0.3">
      <c r="A138" s="150" t="s">
        <v>385</v>
      </c>
      <c r="B138" s="152"/>
      <c r="C138" s="151"/>
      <c r="D138" s="153"/>
      <c r="E138" s="191"/>
      <c r="F138" s="154"/>
      <c r="G138" s="154">
        <f>0.055*G137</f>
        <v>34892255.914999999</v>
      </c>
      <c r="H138" s="155">
        <f t="shared" si="20"/>
        <v>53192.901234379693</v>
      </c>
      <c r="I138" s="171"/>
      <c r="J138" s="156"/>
      <c r="K138" s="156"/>
    </row>
    <row r="139" spans="1:11" ht="24" thickBot="1" x14ac:dyDescent="0.3">
      <c r="A139" s="157" t="s">
        <v>386</v>
      </c>
      <c r="B139" s="159"/>
      <c r="C139" s="158"/>
      <c r="D139" s="159"/>
      <c r="E139" s="158"/>
      <c r="F139" s="158"/>
      <c r="G139" s="192">
        <f>G137+G138</f>
        <v>669296908.91499996</v>
      </c>
      <c r="H139" s="193">
        <f t="shared" si="11"/>
        <v>1020336.5600412831</v>
      </c>
      <c r="I139" s="194">
        <f>H139/$H$139</f>
        <v>1</v>
      </c>
      <c r="J139" s="160"/>
      <c r="K139" s="160"/>
    </row>
    <row r="140" spans="1:11" ht="15.75" x14ac:dyDescent="0.25">
      <c r="I140" s="195"/>
      <c r="J140" s="156"/>
      <c r="K140" s="156"/>
    </row>
    <row r="141" spans="1:11" ht="15.75" x14ac:dyDescent="0.25">
      <c r="I141" s="195"/>
    </row>
    <row r="142" spans="1:11" ht="15.75" x14ac:dyDescent="0.25">
      <c r="I142" s="196"/>
    </row>
    <row r="143" spans="1:11" ht="15.75" x14ac:dyDescent="0.25">
      <c r="I143" s="197"/>
    </row>
    <row r="144" spans="1:11" s="198" customFormat="1" ht="15.75" x14ac:dyDescent="0.25">
      <c r="B144" s="199"/>
      <c r="D144" s="199"/>
      <c r="F144" s="200"/>
      <c r="G144" s="200"/>
      <c r="H144" s="200"/>
      <c r="I144" s="195"/>
      <c r="J144" s="201"/>
      <c r="K144" s="201"/>
    </row>
    <row r="145" spans="9:9" ht="15.75" x14ac:dyDescent="0.25">
      <c r="I145" s="195"/>
    </row>
  </sheetData>
  <mergeCells count="1">
    <mergeCell ref="B2:H2"/>
  </mergeCells>
  <pageMargins left="0.7" right="0.7" top="0.75" bottom="0.75" header="0.3" footer="0.3"/>
  <pageSetup paperSize="9" scale="35" fitToWidth="0"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N21"/>
  <sheetViews>
    <sheetView zoomScale="80" zoomScaleNormal="80" workbookViewId="0">
      <selection activeCell="M23" sqref="M23"/>
    </sheetView>
  </sheetViews>
  <sheetFormatPr baseColWidth="10" defaultColWidth="11.42578125" defaultRowHeight="15" x14ac:dyDescent="0.25"/>
  <cols>
    <col min="2" max="2" width="43.28515625" customWidth="1"/>
    <col min="3" max="3" width="14.140625" customWidth="1"/>
    <col min="4" max="4" width="11.42578125" style="238"/>
    <col min="5" max="5" width="12.85546875" customWidth="1"/>
    <col min="6" max="6" width="11.42578125" customWidth="1"/>
    <col min="7" max="7" width="13.28515625" customWidth="1"/>
    <col min="9" max="14" width="12.85546875" customWidth="1"/>
  </cols>
  <sheetData>
    <row r="1" spans="2:14" ht="34.5" thickBot="1" x14ac:dyDescent="0.3">
      <c r="B1" s="231" t="s">
        <v>387</v>
      </c>
    </row>
    <row r="2" spans="2:14" ht="34.5" customHeight="1" thickBot="1" x14ac:dyDescent="0.3">
      <c r="B2" s="100" t="s">
        <v>1</v>
      </c>
      <c r="C2" s="100" t="s">
        <v>388</v>
      </c>
      <c r="E2" s="102" t="s">
        <v>389</v>
      </c>
      <c r="F2" s="101" t="s">
        <v>390</v>
      </c>
      <c r="G2" s="102" t="s">
        <v>391</v>
      </c>
      <c r="I2" s="102" t="s">
        <v>10</v>
      </c>
      <c r="J2" s="102" t="s">
        <v>11</v>
      </c>
      <c r="K2" s="102" t="s">
        <v>162</v>
      </c>
      <c r="L2" s="102" t="s">
        <v>163</v>
      </c>
      <c r="M2" s="102" t="s">
        <v>233</v>
      </c>
      <c r="N2" s="102" t="s">
        <v>234</v>
      </c>
    </row>
    <row r="3" spans="2:14" ht="20.25" x14ac:dyDescent="0.25">
      <c r="B3" s="232" t="s">
        <v>235</v>
      </c>
      <c r="C3" s="234">
        <f t="shared" ref="C3:C15" si="0">SUM(E3:G3)</f>
        <v>211980.35846861915</v>
      </c>
      <c r="D3" s="239">
        <f>C3/$C$16</f>
        <v>6.2508259364544988E-2</v>
      </c>
      <c r="E3" s="234">
        <f>'Budget détaillé Burkina Faso'!J3</f>
        <v>61970.525507007333</v>
      </c>
      <c r="F3" s="234">
        <f>'Budget détaillé Mali'!H3</f>
        <v>6097.9606894964154</v>
      </c>
      <c r="G3" s="234">
        <f>'Budget détaillé Niger'!H4</f>
        <v>143911.8722721154</v>
      </c>
      <c r="I3" s="234">
        <f>'Budget détaillé Burkina Faso'!L3</f>
        <v>21838.321719259042</v>
      </c>
      <c r="J3" s="234">
        <f>'Budget détaillé Burkina Faso'!M3</f>
        <v>40132.20378774828</v>
      </c>
      <c r="K3" s="234">
        <f>'Budget détaillé Mali'!J3</f>
        <v>3048.9803447482077</v>
      </c>
      <c r="L3" s="234">
        <f>'Budget détaillé Mali'!K3</f>
        <v>3048.9803447482077</v>
      </c>
      <c r="M3" s="234">
        <f>'Budget détaillé Niger'!J4</f>
        <v>104097.27060361172</v>
      </c>
      <c r="N3" s="234">
        <f>'Budget détaillé Niger'!K4</f>
        <v>39814.601668503674</v>
      </c>
    </row>
    <row r="4" spans="2:14" ht="22.5" customHeight="1" x14ac:dyDescent="0.25">
      <c r="B4" s="233" t="s">
        <v>263</v>
      </c>
      <c r="C4" s="234">
        <f t="shared" si="0"/>
        <v>822151.46099515667</v>
      </c>
      <c r="D4" s="239">
        <f>C4/$C$16</f>
        <v>0.24243404970198046</v>
      </c>
      <c r="E4" s="234">
        <f>'Budget détaillé Burkina Faso'!J12</f>
        <v>418248.43259542924</v>
      </c>
      <c r="F4" s="234">
        <f>'Budget détaillé Mali'!H6</f>
        <v>189099.47420333955</v>
      </c>
      <c r="G4" s="234">
        <f>'Budget détaillé Niger'!H24</f>
        <v>214803.55419638788</v>
      </c>
      <c r="I4" s="234">
        <f>'Budget détaillé Burkina Faso'!L12</f>
        <v>209124.21629771462</v>
      </c>
      <c r="J4" s="234">
        <f>'Budget détaillé Burkina Faso'!M12</f>
        <v>209124.21629771462</v>
      </c>
      <c r="K4" s="234">
        <f>'Budget détaillé Mali'!J6</f>
        <v>94549.737101669773</v>
      </c>
      <c r="L4" s="234">
        <f>'Budget détaillé Mali'!K6</f>
        <v>94549.737101669773</v>
      </c>
      <c r="M4" s="234">
        <f>'Budget détaillé Niger'!J24</f>
        <v>145439.21705233728</v>
      </c>
      <c r="N4" s="234">
        <f>'Budget détaillé Niger'!K24</f>
        <v>69364.337144050602</v>
      </c>
    </row>
    <row r="5" spans="2:14" ht="18" x14ac:dyDescent="0.25">
      <c r="B5" s="235" t="s">
        <v>27</v>
      </c>
      <c r="C5" s="120">
        <f t="shared" si="0"/>
        <v>369620.73733491678</v>
      </c>
      <c r="D5" s="239"/>
      <c r="E5" s="120">
        <f>'Budget détaillé Burkina Faso'!J13</f>
        <v>177510.94507719256</v>
      </c>
      <c r="F5" s="120">
        <f>'Budget détaillé Mali'!H7</f>
        <v>103391.5149925986</v>
      </c>
      <c r="G5" s="120">
        <f>'Budget détaillé Niger'!H25</f>
        <v>88718.277265125609</v>
      </c>
      <c r="I5" s="120">
        <f>'Budget détaillé Burkina Faso'!L13</f>
        <v>88755.472538596281</v>
      </c>
      <c r="J5" s="120">
        <f>'Budget détaillé Burkina Faso'!M13</f>
        <v>88755.472538596281</v>
      </c>
      <c r="K5" s="120">
        <f>'Budget détaillé Mali'!J7</f>
        <v>51695.757496299302</v>
      </c>
      <c r="L5" s="120">
        <f>'Budget détaillé Mali'!K7</f>
        <v>51695.757496299302</v>
      </c>
      <c r="M5" s="120">
        <f>'Budget détaillé Niger'!J25</f>
        <v>46256.385708209535</v>
      </c>
      <c r="N5" s="120">
        <f>'Budget détaillé Niger'!K25</f>
        <v>42461.891556916082</v>
      </c>
    </row>
    <row r="6" spans="2:14" ht="18" x14ac:dyDescent="0.25">
      <c r="B6" s="235" t="s">
        <v>44</v>
      </c>
      <c r="C6" s="120">
        <f t="shared" si="0"/>
        <v>135230.72366023992</v>
      </c>
      <c r="D6" s="239"/>
      <c r="E6" s="120">
        <f>'Budget détaillé Burkina Faso'!J28</f>
        <v>71437.48751823671</v>
      </c>
      <c r="F6" s="120">
        <f>'Budget détaillé Mali'!H13</f>
        <v>47707.959210740948</v>
      </c>
      <c r="G6" s="120">
        <f>'Budget détaillé Niger'!H37</f>
        <v>16085.276931262262</v>
      </c>
      <c r="I6" s="120">
        <f>'Budget détaillé Burkina Faso'!L28</f>
        <v>35718.743759118355</v>
      </c>
      <c r="J6" s="120">
        <f>'Budget détaillé Burkina Faso'!M28</f>
        <v>35718.743759118355</v>
      </c>
      <c r="K6" s="120">
        <f>'Budget détaillé Mali'!J13</f>
        <v>23853.979605370474</v>
      </c>
      <c r="L6" s="120">
        <f>'Budget détaillé Mali'!K13</f>
        <v>23853.979605370474</v>
      </c>
      <c r="M6" s="120">
        <f>'Budget détaillé Niger'!J37</f>
        <v>6682.8313441277405</v>
      </c>
      <c r="N6" s="120">
        <f>'Budget détaillé Niger'!K37</f>
        <v>9402.4455871345235</v>
      </c>
    </row>
    <row r="7" spans="2:14" ht="18" x14ac:dyDescent="0.25">
      <c r="B7" s="235" t="s">
        <v>392</v>
      </c>
      <c r="C7" s="120">
        <f t="shared" si="0"/>
        <v>317300</v>
      </c>
      <c r="D7" s="239"/>
      <c r="E7" s="120">
        <f>'Budget détaillé Burkina Faso'!J32</f>
        <v>169300</v>
      </c>
      <c r="F7" s="120">
        <f>'Budget détaillé Mali'!H23</f>
        <v>38000</v>
      </c>
      <c r="G7" s="120">
        <f>'Budget détaillé Niger'!H41</f>
        <v>110000</v>
      </c>
      <c r="I7" s="120">
        <f>'Budget détaillé Burkina Faso'!L32</f>
        <v>84650</v>
      </c>
      <c r="J7" s="120">
        <f>'Budget détaillé Burkina Faso'!M32</f>
        <v>84650</v>
      </c>
      <c r="K7" s="120">
        <f>'Budget détaillé Mali'!J23</f>
        <v>19000</v>
      </c>
      <c r="L7" s="120">
        <f>'Budget détaillé Mali'!K23</f>
        <v>19000</v>
      </c>
      <c r="M7" s="120">
        <f>'Budget détaillé Niger'!J41</f>
        <v>92500</v>
      </c>
      <c r="N7" s="120">
        <f>'Budget détaillé Niger'!K41</f>
        <v>17500</v>
      </c>
    </row>
    <row r="8" spans="2:14" ht="20.25" x14ac:dyDescent="0.25">
      <c r="B8" s="233" t="s">
        <v>283</v>
      </c>
      <c r="C8" s="234">
        <f t="shared" si="0"/>
        <v>298893.80858806294</v>
      </c>
      <c r="D8" s="239">
        <f>C8/$C$16</f>
        <v>8.8137088948479728E-2</v>
      </c>
      <c r="E8" s="234">
        <f>'Budget détaillé Burkina Faso'!J37</f>
        <v>147827.51308393688</v>
      </c>
      <c r="F8" s="234">
        <f>'Budget détaillé Mali'!H26</f>
        <v>57517.703142126702</v>
      </c>
      <c r="G8" s="234">
        <f>'Budget détaillé Niger'!H45</f>
        <v>93548.592361999341</v>
      </c>
      <c r="I8" s="234">
        <f>'Budget détaillé Burkina Faso'!L37</f>
        <v>73913.75654196844</v>
      </c>
      <c r="J8" s="234">
        <f>'Budget détaillé Burkina Faso'!M37</f>
        <v>73913.75654196844</v>
      </c>
      <c r="K8" s="234">
        <f>'Budget détaillé Mali'!J26</f>
        <v>28072.830993495001</v>
      </c>
      <c r="L8" s="234">
        <f>'Budget détaillé Mali'!K26</f>
        <v>29444.872148631694</v>
      </c>
      <c r="M8" s="234">
        <f>'Budget détaillé Niger'!J45</f>
        <v>50318.735831769467</v>
      </c>
      <c r="N8" s="234">
        <f>'Budget détaillé Niger'!K45</f>
        <v>43229.856530229881</v>
      </c>
    </row>
    <row r="9" spans="2:14" ht="18" x14ac:dyDescent="0.25">
      <c r="B9" s="235" t="s">
        <v>284</v>
      </c>
      <c r="C9" s="120">
        <f t="shared" si="0"/>
        <v>103787.290935229</v>
      </c>
      <c r="D9" s="239"/>
      <c r="E9" s="120">
        <f>'Budget détaillé Burkina Faso'!J38</f>
        <v>64958.526244860572</v>
      </c>
      <c r="F9" s="120">
        <f>'Budget détaillé Mali'!H27</f>
        <v>19772.637535692127</v>
      </c>
      <c r="G9" s="120">
        <f>'Budget détaillé Niger'!H46</f>
        <v>19056.127154676298</v>
      </c>
      <c r="I9" s="120">
        <f>'Budget détaillé Burkina Faso'!L38</f>
        <v>32479.263122430286</v>
      </c>
      <c r="J9" s="120">
        <f>'Budget détaillé Burkina Faso'!M38</f>
        <v>32479.263122430286</v>
      </c>
      <c r="K9" s="120">
        <f>'Budget détaillé Mali'!J27</f>
        <v>9886.3187678460636</v>
      </c>
      <c r="L9" s="120">
        <f>'Budget détaillé Mali'!K27</f>
        <v>9886.3187678460636</v>
      </c>
      <c r="M9" s="120">
        <f>'Budget détaillé Niger'!J46</f>
        <v>9528.0635773381473</v>
      </c>
      <c r="N9" s="120">
        <f>'Budget détaillé Niger'!K46</f>
        <v>9528.0635773381473</v>
      </c>
    </row>
    <row r="10" spans="2:14" ht="18" x14ac:dyDescent="0.25">
      <c r="B10" s="235" t="s">
        <v>191</v>
      </c>
      <c r="C10" s="120">
        <f t="shared" si="0"/>
        <v>38931.250066696448</v>
      </c>
      <c r="D10" s="239"/>
      <c r="E10" s="120">
        <f>'Budget détaillé Burkina Faso'!J46</f>
        <v>13378.532434290662</v>
      </c>
      <c r="F10" s="120">
        <f>'Budget détaillé Mali'!H32</f>
        <v>7280.571744794247</v>
      </c>
      <c r="G10" s="120">
        <f>'Budget détaillé Niger'!H51</f>
        <v>18272.145887611536</v>
      </c>
      <c r="I10" s="120">
        <f>'Budget détaillé Burkina Faso'!L46</f>
        <v>6689.2662171453312</v>
      </c>
      <c r="J10" s="120">
        <f>'Budget détaillé Burkina Faso'!M46</f>
        <v>6689.2662171453312</v>
      </c>
      <c r="K10" s="120">
        <f>'Budget détaillé Mali'!J32</f>
        <v>3640.2858723971235</v>
      </c>
      <c r="L10" s="120">
        <f>'Budget détaillé Mali'!K32</f>
        <v>3640.2858723971235</v>
      </c>
      <c r="M10" s="120">
        <f>'Budget détaillé Niger'!J51</f>
        <v>9822.0935213741141</v>
      </c>
      <c r="N10" s="120">
        <f>'Budget détaillé Niger'!K51</f>
        <v>8450.0523662374217</v>
      </c>
    </row>
    <row r="11" spans="2:14" ht="18" x14ac:dyDescent="0.25">
      <c r="B11" s="235" t="s">
        <v>69</v>
      </c>
      <c r="C11" s="120">
        <f t="shared" si="0"/>
        <v>39225.13213518569</v>
      </c>
      <c r="D11" s="239"/>
      <c r="E11" s="120">
        <f>'Budget détaillé Burkina Faso'!J49</f>
        <v>14177.758603079164</v>
      </c>
      <c r="F11" s="120">
        <f>'Budget détaillé Mali'!H35</f>
        <v>8781.0633928748375</v>
      </c>
      <c r="G11" s="120">
        <f>'Budget détaillé Niger'!H58</f>
        <v>16266.310139231688</v>
      </c>
      <c r="I11" s="120">
        <f>'Budget détaillé Burkina Faso'!L49</f>
        <v>7088.8793015395822</v>
      </c>
      <c r="J11" s="120">
        <f>'Budget détaillé Burkina Faso'!M49</f>
        <v>7088.8793015395822</v>
      </c>
      <c r="K11" s="120">
        <f>'Budget détaillé Mali'!J35</f>
        <v>3704.5111188690721</v>
      </c>
      <c r="L11" s="120">
        <f>'Budget détaillé Mali'!K35</f>
        <v>5076.5522740057659</v>
      </c>
      <c r="M11" s="120">
        <f>'Budget détaillé Niger'!J58</f>
        <v>10991.57414281729</v>
      </c>
      <c r="N11" s="120">
        <f>'Budget détaillé Niger'!K58</f>
        <v>5274.735996414398</v>
      </c>
    </row>
    <row r="12" spans="2:14" ht="18.75" customHeight="1" x14ac:dyDescent="0.25">
      <c r="B12" s="235" t="s">
        <v>305</v>
      </c>
      <c r="C12" s="120">
        <f t="shared" si="0"/>
        <v>33971.144450017302</v>
      </c>
      <c r="D12" s="239"/>
      <c r="E12" s="120">
        <f>'Budget détaillé Burkina Faso'!J53</f>
        <v>21897.1822848144</v>
      </c>
      <c r="F12" s="120">
        <f>'Budget détaillé Mali'!H40</f>
        <v>5488.1646205467732</v>
      </c>
      <c r="G12" s="120">
        <f>'Budget détaillé Niger'!H65</f>
        <v>6585.7975446561286</v>
      </c>
      <c r="I12" s="120">
        <f>'Budget détaillé Burkina Faso'!L53</f>
        <v>10948.5911424072</v>
      </c>
      <c r="J12" s="120">
        <f>'Budget détaillé Burkina Faso'!L53</f>
        <v>10948.5911424072</v>
      </c>
      <c r="K12" s="120">
        <f>'Budget détaillé Mali'!J40</f>
        <v>2744.0823102733866</v>
      </c>
      <c r="L12" s="120">
        <f>'Budget détaillé Mali'!K40</f>
        <v>2744.0823102733866</v>
      </c>
      <c r="M12" s="120">
        <f>'Budget détaillé Niger'!J65</f>
        <v>3292.8987723280643</v>
      </c>
      <c r="N12" s="120">
        <f>'Budget détaillé Niger'!K65</f>
        <v>3292.8987723280643</v>
      </c>
    </row>
    <row r="13" spans="2:14" ht="18" x14ac:dyDescent="0.25">
      <c r="B13" s="235" t="s">
        <v>78</v>
      </c>
      <c r="C13" s="120">
        <f t="shared" si="0"/>
        <v>32978.991000934511</v>
      </c>
      <c r="D13" s="239"/>
      <c r="E13" s="120">
        <f>'Budget détaillé Burkina Faso'!J57</f>
        <v>13415.513516892113</v>
      </c>
      <c r="F13" s="120">
        <f>'Budget détaillé Mali'!H43</f>
        <v>2195.2658482187094</v>
      </c>
      <c r="G13" s="120">
        <f>'Budget détaillé Niger'!H69</f>
        <v>17368.211635823689</v>
      </c>
      <c r="I13" s="120">
        <f>'Budget détaillé Burkina Faso'!L57</f>
        <v>6707.7567584460567</v>
      </c>
      <c r="J13" s="120">
        <f>'Budget détaillé Burkina Faso'!M57</f>
        <v>6707.7567584460567</v>
      </c>
      <c r="K13" s="120">
        <f>'Budget détaillé Mali'!J43</f>
        <v>1097.6329241093547</v>
      </c>
      <c r="L13" s="120">
        <f>'Budget détaillé Mali'!K43</f>
        <v>1097.6329241093547</v>
      </c>
      <c r="M13" s="120">
        <f>'Budget détaillé Niger'!J69</f>
        <v>8684.1058179118463</v>
      </c>
      <c r="N13" s="120">
        <f>'Budget détaillé Niger'!K65</f>
        <v>3292.8987723280643</v>
      </c>
    </row>
    <row r="14" spans="2:14" ht="18" x14ac:dyDescent="0.25">
      <c r="B14" s="235" t="s">
        <v>80</v>
      </c>
      <c r="C14" s="120">
        <f t="shared" si="0"/>
        <v>50000</v>
      </c>
      <c r="D14" s="239"/>
      <c r="E14" s="120">
        <f>'Budget détaillé Burkina Faso'!J59</f>
        <v>20000</v>
      </c>
      <c r="F14" s="120">
        <f>'Budget détaillé Mali'!H45</f>
        <v>14000</v>
      </c>
      <c r="G14" s="120">
        <f>'Budget détaillé Niger'!H79</f>
        <v>16000</v>
      </c>
      <c r="I14" s="120">
        <f>'Budget détaillé Burkina Faso'!L59</f>
        <v>10000</v>
      </c>
      <c r="J14" s="120">
        <f>'Budget détaillé Burkina Faso'!M59</f>
        <v>10000</v>
      </c>
      <c r="K14" s="120">
        <f>'Budget détaillé Mali'!J45</f>
        <v>7000</v>
      </c>
      <c r="L14" s="120">
        <f>'Budget détaillé Mali'!K45</f>
        <v>7000</v>
      </c>
      <c r="M14" s="120">
        <f>'Budget détaillé Niger'!J79</f>
        <v>8000</v>
      </c>
      <c r="N14" s="120">
        <f>'Budget détaillé Niger'!K79</f>
        <v>8000</v>
      </c>
    </row>
    <row r="15" spans="2:14" ht="21" thickBot="1" x14ac:dyDescent="0.3">
      <c r="B15" s="233" t="s">
        <v>321</v>
      </c>
      <c r="C15" s="234">
        <f t="shared" si="0"/>
        <v>2058211.9559666261</v>
      </c>
      <c r="D15" s="239">
        <f>C15/$C$16</f>
        <v>0.60692060198499476</v>
      </c>
      <c r="E15" s="234">
        <f>'Budget détaillé Burkina Faso'!J62</f>
        <v>1138818.7815664748</v>
      </c>
      <c r="F15" s="234">
        <f>'Budget détaillé Mali'!H48</f>
        <v>404513.5344237503</v>
      </c>
      <c r="G15" s="234">
        <f>'Budget détaillé Niger'!H82</f>
        <v>514879.63997640088</v>
      </c>
      <c r="I15" s="234">
        <f>'Budget détaillé Burkina Faso'!L62</f>
        <v>988889.51600486017</v>
      </c>
      <c r="J15" s="234">
        <f>'Budget détaillé Burkina Faso'!M62</f>
        <v>149929.26556161456</v>
      </c>
      <c r="K15" s="120">
        <f>'Budget détaillé Mali'!J48</f>
        <v>353213.88254108123</v>
      </c>
      <c r="L15" s="234">
        <f>'Budget détaillé Mali'!K48</f>
        <v>51299.651882669132</v>
      </c>
      <c r="M15" s="234">
        <f>'Budget détaillé Niger'!J82</f>
        <v>214269.68383598316</v>
      </c>
      <c r="N15" s="234">
        <f>'Budget détaillé Niger'!K82</f>
        <v>300609.95614041778</v>
      </c>
    </row>
    <row r="16" spans="2:14" ht="21" thickBot="1" x14ac:dyDescent="0.3">
      <c r="B16" s="236" t="s">
        <v>384</v>
      </c>
      <c r="C16" s="234">
        <f>SUM(C3+C4+C8+C15)</f>
        <v>3391237.5840184651</v>
      </c>
      <c r="D16" s="239">
        <f>C16/$C$16</f>
        <v>1</v>
      </c>
      <c r="E16" s="234">
        <f t="shared" ref="E16:G16" si="1">SUM(E3+E4+E8+E15)</f>
        <v>1766865.2527528482</v>
      </c>
      <c r="F16" s="234">
        <f>SUM(F3+F4+F8+F15)</f>
        <v>657228.67245871294</v>
      </c>
      <c r="G16" s="234">
        <f t="shared" si="1"/>
        <v>967143.65880690352</v>
      </c>
      <c r="I16" s="281">
        <f>'Budget détaillé Burkina Faso'!L106</f>
        <v>1293765.8105638023</v>
      </c>
      <c r="J16" s="281">
        <f>'Budget détaillé Burkina Faso'!M106</f>
        <v>473099.44218904595</v>
      </c>
      <c r="K16" s="281">
        <f>'Budget détaillé Mali'!J74</f>
        <v>478885.43098099425</v>
      </c>
      <c r="L16" s="281">
        <f>'Budget détaillé Mali'!K74</f>
        <v>178343.24147771881</v>
      </c>
      <c r="M16" s="281">
        <f>'Budget détaillé Niger'!J137</f>
        <v>514124.9073237016</v>
      </c>
      <c r="N16" s="281">
        <f>'Budget détaillé Niger'!K137</f>
        <v>453018.75148320192</v>
      </c>
    </row>
    <row r="17" spans="2:14" ht="16.5" thickBot="1" x14ac:dyDescent="0.3">
      <c r="B17" s="237" t="s">
        <v>385</v>
      </c>
      <c r="C17" s="234">
        <f xml:space="preserve"> 0.055*C16</f>
        <v>186518.06712101557</v>
      </c>
      <c r="E17" s="234">
        <f t="shared" ref="E17:G17" si="2" xml:space="preserve"> 0.055*E16</f>
        <v>97177.588901406649</v>
      </c>
      <c r="F17" s="234">
        <f xml:space="preserve"> 0.055*F16</f>
        <v>36147.576985229214</v>
      </c>
      <c r="G17" s="234">
        <f t="shared" si="2"/>
        <v>53192.901234379693</v>
      </c>
      <c r="I17" s="280"/>
      <c r="J17" s="280"/>
      <c r="K17" s="280"/>
      <c r="L17" s="280"/>
      <c r="M17" s="280"/>
      <c r="N17" s="280"/>
    </row>
    <row r="18" spans="2:14" ht="24" thickBot="1" x14ac:dyDescent="0.3">
      <c r="B18" s="157" t="s">
        <v>386</v>
      </c>
      <c r="C18" s="234">
        <f>C16+C17</f>
        <v>3577755.6511394805</v>
      </c>
      <c r="E18" s="234">
        <f t="shared" ref="E18:G18" si="3">E16+E17</f>
        <v>1864042.8416542548</v>
      </c>
      <c r="F18" s="234">
        <f>F16+F17</f>
        <v>693376.24944394222</v>
      </c>
      <c r="G18" s="234">
        <f t="shared" si="3"/>
        <v>1020336.5600412833</v>
      </c>
      <c r="I18" s="280"/>
      <c r="J18" s="280"/>
      <c r="K18" s="280"/>
      <c r="L18" s="280"/>
      <c r="M18" s="280"/>
      <c r="N18" s="280"/>
    </row>
    <row r="19" spans="2:14" x14ac:dyDescent="0.25">
      <c r="C19" s="240"/>
    </row>
    <row r="21" spans="2:14" x14ac:dyDescent="0.25">
      <c r="E21" s="8">
        <f>E18/$C$18</f>
        <v>0.52100898535666496</v>
      </c>
      <c r="F21" s="8">
        <f t="shared" ref="F21:G21" si="4">F18/$C$18</f>
        <v>0.19380201362357113</v>
      </c>
      <c r="G21" s="8">
        <f t="shared" si="4"/>
        <v>0.28518900101976385</v>
      </c>
      <c r="I21" s="8"/>
      <c r="J21" s="8"/>
      <c r="K21" s="8"/>
      <c r="L21" s="8"/>
      <c r="M21" s="8"/>
      <c r="N21" s="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5A84E52988574B8D4ED6D21343F087" ma:contentTypeVersion="2" ma:contentTypeDescription="Crée un document." ma:contentTypeScope="" ma:versionID="920088e01cf92173d4d9bdbf8fda6854">
  <xsd:schema xmlns:xsd="http://www.w3.org/2001/XMLSchema" xmlns:xs="http://www.w3.org/2001/XMLSchema" xmlns:p="http://schemas.microsoft.com/office/2006/metadata/properties" targetNamespace="http://schemas.microsoft.com/office/2006/metadata/properties" ma:root="true" ma:fieldsID="e9a60942a35b1a2b790b504acabfc54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484AA1-EF6F-49CA-8571-48B92C9FFCBC}"/>
</file>

<file path=customXml/itemProps2.xml><?xml version="1.0" encoding="utf-8"?>
<ds:datastoreItem xmlns:ds="http://schemas.openxmlformats.org/officeDocument/2006/customXml" ds:itemID="{44559A85-636F-4DD5-A854-48A8B81EA86C}">
  <ds:schemaRefs>
    <ds:schemaRef ds:uri="http://schemas.microsoft.com/sharepoint/v3/contenttype/forms"/>
  </ds:schemaRefs>
</ds:datastoreItem>
</file>

<file path=customXml/itemProps3.xml><?xml version="1.0" encoding="utf-8"?>
<ds:datastoreItem xmlns:ds="http://schemas.openxmlformats.org/officeDocument/2006/customXml" ds:itemID="{3AF06E5C-86F1-47F1-A687-D29A21298656}">
  <ds:schemaRefs>
    <ds:schemaRef ds:uri="http://schemas.microsoft.com/office/2006/metadata/properties"/>
    <ds:schemaRef ds:uri="http://schemas.microsoft.com/office/2006/documentManagement/types"/>
    <ds:schemaRef ds:uri="http://purl.org/dc/elements/1.1/"/>
    <ds:schemaRef ds:uri="http://purl.org/dc/dcmitype/"/>
    <ds:schemaRef ds:uri="785dfc26-dcae-4ca8-8cce-f3f76c7aee05"/>
    <ds:schemaRef ds:uri="http://schemas.microsoft.com/office/infopath/2007/PartnerControls"/>
    <ds:schemaRef ds:uri="4d549326-2178-4018-b455-065e5e898508"/>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Budget détaillé Burkina Faso</vt:lpstr>
      <vt:lpstr>Budget détaillé Mali</vt:lpstr>
      <vt:lpstr>Budget détaillé Niger</vt:lpstr>
      <vt:lpstr>Budget compilé </vt:lpstr>
    </vt:vector>
  </TitlesOfParts>
  <Company>CRB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Coulon Véronique - D2.1</cp:lastModifiedBy>
  <cp:revision/>
  <dcterms:created xsi:type="dcterms:W3CDTF">2018-12-18T17:15:30Z</dcterms:created>
  <dcterms:modified xsi:type="dcterms:W3CDTF">2019-01-15T11:43:56Z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0x010100895A84E52988574B8D4ED6D21343F087</vt:lpwstr>
  </property>
  <property fmtid="{D5CDD505-2E9C-101B-9397-08002B2CF9AE}" pid="3" name="TitusGUID">
    <vt:lpwstr>2c2fa898-264e-4de3-9291-d8b969b642fc</vt:lpwstr>
  </property>
  <property fmtid="{D5CDD505-2E9C-101B-9397-08002B2CF9AE}" pid="4" name="BE_ForeignAffairsClassification">
    <vt:lpwstr>Non classifié - Niet geclassificeerd</vt:lpwstr>
  </property>
  <property fmtid="{D5CDD505-2E9C-101B-9397-08002B2CF9AE}" pid="5" name="BE_ForeignAffairsMarkering">
    <vt:lpwstr>Markering inactief - Marquage inactif</vt:lpwstr>
  </property>
</Properties>
</file>