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935"/>
  </bookViews>
  <sheets>
    <sheet name="BUDGET" sheetId="7" r:id="rId1"/>
    <sheet name="Total IDP" sheetId="1" r:id="rId2"/>
    <sheet name="IDP Invest" sheetId="3" r:id="rId3"/>
    <sheet name="IDP Office " sheetId="4" r:id="rId4"/>
    <sheet name="IDP Expat" sheetId="2" r:id="rId5"/>
    <sheet name="IDP Vehicles" sheetId="5" r:id="rId6"/>
    <sheet name="IDP personal" sheetId="6" r:id="rId7"/>
    <sheet name="Operat°" sheetId="9" r:id="rId8"/>
    <sheet name="LCDO" sheetId="8" r:id="rId9"/>
    <sheet name="OIKOS" sheetId="10" r:id="rId10"/>
  </sheets>
  <calcPr calcId="145621"/>
</workbook>
</file>

<file path=xl/calcChain.xml><?xml version="1.0" encoding="utf-8"?>
<calcChain xmlns="http://schemas.openxmlformats.org/spreadsheetml/2006/main">
  <c r="P32" i="10" l="1"/>
  <c r="M33" i="7"/>
  <c r="L33" i="7"/>
  <c r="K33" i="7"/>
  <c r="J33" i="7"/>
  <c r="H52" i="4"/>
  <c r="H55" i="4"/>
  <c r="H49" i="4"/>
  <c r="H47" i="4"/>
  <c r="H43" i="4"/>
  <c r="F52" i="4"/>
  <c r="I52" i="4" s="1"/>
  <c r="F56" i="4"/>
  <c r="H56" i="4" s="1"/>
  <c r="F55" i="4"/>
  <c r="I55" i="4" s="1"/>
  <c r="F51" i="4"/>
  <c r="H51" i="4" s="1"/>
  <c r="F49" i="4"/>
  <c r="I49" i="4" s="1"/>
  <c r="F48" i="4"/>
  <c r="H48" i="4" s="1"/>
  <c r="F47" i="4"/>
  <c r="I47" i="4" s="1"/>
  <c r="F45" i="4"/>
  <c r="H45" i="4" s="1"/>
  <c r="F43" i="4"/>
  <c r="I43" i="4" s="1"/>
  <c r="I42" i="4" s="1"/>
  <c r="F41" i="4"/>
  <c r="H41" i="4" s="1"/>
  <c r="E25" i="1"/>
  <c r="I66" i="1"/>
  <c r="F50" i="3"/>
  <c r="F49" i="3"/>
  <c r="F48" i="3"/>
  <c r="F47" i="3"/>
  <c r="F45" i="3"/>
  <c r="H45" i="3" s="1"/>
  <c r="F44" i="3"/>
  <c r="G44" i="3" s="1"/>
  <c r="G45" i="3"/>
  <c r="M27" i="7"/>
  <c r="L27" i="7"/>
  <c r="K27" i="7"/>
  <c r="J27" i="7"/>
  <c r="G31" i="7"/>
  <c r="I46" i="4" l="1"/>
  <c r="G41" i="4"/>
  <c r="I41" i="4"/>
  <c r="I40" i="4" s="1"/>
  <c r="G45" i="4"/>
  <c r="I45" i="4"/>
  <c r="I44" i="4" s="1"/>
  <c r="G48" i="4"/>
  <c r="E48" i="1" s="1"/>
  <c r="I48" i="4"/>
  <c r="G51" i="4"/>
  <c r="E51" i="1" s="1"/>
  <c r="I51" i="4"/>
  <c r="I50" i="4" s="1"/>
  <c r="G56" i="4"/>
  <c r="I56" i="4"/>
  <c r="I54" i="4" s="1"/>
  <c r="I57" i="4" s="1"/>
  <c r="G43" i="4"/>
  <c r="G42" i="4" s="1"/>
  <c r="E46" i="1" s="1"/>
  <c r="G47" i="4"/>
  <c r="E50" i="1" s="1"/>
  <c r="G49" i="4"/>
  <c r="E49" i="1" s="1"/>
  <c r="G55" i="4"/>
  <c r="G52" i="4"/>
  <c r="E52" i="1" s="1"/>
  <c r="H44" i="3"/>
  <c r="H43" i="3" s="1"/>
  <c r="F18" i="4"/>
  <c r="F19" i="4"/>
  <c r="E33" i="1" s="1"/>
  <c r="J33" i="1" s="1"/>
  <c r="G44" i="4"/>
  <c r="E47" i="1" s="1"/>
  <c r="G40" i="4"/>
  <c r="E45" i="1" s="1"/>
  <c r="G50" i="4" l="1"/>
  <c r="G54" i="4"/>
  <c r="E53" i="1" s="1"/>
  <c r="F17" i="4"/>
  <c r="E36" i="1"/>
  <c r="G46" i="4"/>
  <c r="G47" i="3"/>
  <c r="H47" i="3"/>
  <c r="M78" i="7"/>
  <c r="L78" i="7"/>
  <c r="K78" i="7"/>
  <c r="I78" i="7"/>
  <c r="J78" i="7"/>
  <c r="F78" i="7"/>
  <c r="E78" i="7"/>
  <c r="J38" i="8"/>
  <c r="E61" i="7" s="1"/>
  <c r="D10" i="9" s="1"/>
  <c r="G35" i="10"/>
  <c r="P34" i="10"/>
  <c r="P33" i="10"/>
  <c r="P31" i="10"/>
  <c r="P28" i="10"/>
  <c r="O27" i="10"/>
  <c r="M27" i="10"/>
  <c r="K27" i="10"/>
  <c r="I27" i="10"/>
  <c r="G27" i="10"/>
  <c r="O26" i="10"/>
  <c r="O29" i="10" s="1"/>
  <c r="M26" i="10"/>
  <c r="K26" i="10"/>
  <c r="K29" i="10" s="1"/>
  <c r="I26" i="10"/>
  <c r="G26" i="10"/>
  <c r="G29" i="10" s="1"/>
  <c r="O23" i="10"/>
  <c r="M23" i="10"/>
  <c r="K23" i="10"/>
  <c r="I23" i="10"/>
  <c r="G23" i="10"/>
  <c r="O22" i="10"/>
  <c r="M22" i="10"/>
  <c r="K22" i="10"/>
  <c r="I22" i="10"/>
  <c r="G22" i="10"/>
  <c r="P22" i="10" s="1"/>
  <c r="O21" i="10"/>
  <c r="M21" i="10"/>
  <c r="K21" i="10"/>
  <c r="I21" i="10"/>
  <c r="G21" i="10"/>
  <c r="O20" i="10"/>
  <c r="O24" i="10" s="1"/>
  <c r="M20" i="10"/>
  <c r="K20" i="10"/>
  <c r="K24" i="10" s="1"/>
  <c r="I20" i="10"/>
  <c r="G20" i="10"/>
  <c r="G24" i="10" s="1"/>
  <c r="O17" i="10"/>
  <c r="M17" i="10"/>
  <c r="K17" i="10"/>
  <c r="I17" i="10"/>
  <c r="G17" i="10"/>
  <c r="O16" i="10"/>
  <c r="M16" i="10"/>
  <c r="K16" i="10"/>
  <c r="I16" i="10"/>
  <c r="G16" i="10"/>
  <c r="P16" i="10" s="1"/>
  <c r="O15" i="10"/>
  <c r="M15" i="10"/>
  <c r="K15" i="10"/>
  <c r="I15" i="10"/>
  <c r="G15" i="10"/>
  <c r="O14" i="10"/>
  <c r="M14" i="10"/>
  <c r="K14" i="10"/>
  <c r="I14" i="10"/>
  <c r="G14" i="10"/>
  <c r="P14" i="10" s="1"/>
  <c r="O13" i="10"/>
  <c r="M13" i="10"/>
  <c r="K13" i="10"/>
  <c r="I13" i="10"/>
  <c r="G13" i="10"/>
  <c r="O12" i="10"/>
  <c r="M12" i="10"/>
  <c r="K12" i="10"/>
  <c r="I12" i="10"/>
  <c r="G12" i="10"/>
  <c r="P12" i="10" s="1"/>
  <c r="O11" i="10"/>
  <c r="M11" i="10"/>
  <c r="K11" i="10"/>
  <c r="I11" i="10"/>
  <c r="G11" i="10"/>
  <c r="O10" i="10"/>
  <c r="M10" i="10"/>
  <c r="K10" i="10"/>
  <c r="I10" i="10"/>
  <c r="G10" i="10"/>
  <c r="P10" i="10" s="1"/>
  <c r="O9" i="10"/>
  <c r="M9" i="10"/>
  <c r="M18" i="10" s="1"/>
  <c r="K9" i="10"/>
  <c r="I9" i="10"/>
  <c r="I18" i="10" s="1"/>
  <c r="G9" i="10"/>
  <c r="J127" i="7"/>
  <c r="E126" i="7"/>
  <c r="F126" i="7"/>
  <c r="F124" i="7" s="1"/>
  <c r="G126" i="7"/>
  <c r="H126" i="7"/>
  <c r="H124" i="7" s="1"/>
  <c r="I132" i="7"/>
  <c r="K132" i="7" s="1"/>
  <c r="E124" i="7"/>
  <c r="G124" i="7"/>
  <c r="J124" i="7"/>
  <c r="I128" i="7"/>
  <c r="K128" i="7" s="1"/>
  <c r="I125" i="7"/>
  <c r="J134" i="7"/>
  <c r="J131" i="7" s="1"/>
  <c r="M102" i="7"/>
  <c r="L102" i="7"/>
  <c r="K102" i="7"/>
  <c r="J102" i="7"/>
  <c r="M101" i="7"/>
  <c r="H109" i="7"/>
  <c r="J10" i="9"/>
  <c r="I10" i="9"/>
  <c r="I77" i="7"/>
  <c r="M72" i="7"/>
  <c r="I72" i="7"/>
  <c r="M67" i="7"/>
  <c r="L67" i="7"/>
  <c r="M62" i="7"/>
  <c r="L62" i="7"/>
  <c r="K62" i="7"/>
  <c r="K34" i="7"/>
  <c r="I32" i="7"/>
  <c r="F80" i="7"/>
  <c r="E30" i="9" s="1"/>
  <c r="E80" i="7"/>
  <c r="D30" i="9" s="1"/>
  <c r="F79" i="7"/>
  <c r="E79" i="7"/>
  <c r="E28" i="9"/>
  <c r="F76" i="7"/>
  <c r="E26" i="9" s="1"/>
  <c r="F75" i="7"/>
  <c r="E25" i="9" s="1"/>
  <c r="F74" i="7"/>
  <c r="E24" i="9" s="1"/>
  <c r="F73" i="7"/>
  <c r="E74" i="7"/>
  <c r="D24" i="9" s="1"/>
  <c r="E73" i="7"/>
  <c r="D23" i="9" s="1"/>
  <c r="E76" i="7"/>
  <c r="E75" i="7"/>
  <c r="D25" i="9" s="1"/>
  <c r="F71" i="7"/>
  <c r="E21" i="9" s="1"/>
  <c r="E71" i="7"/>
  <c r="D21" i="9" s="1"/>
  <c r="F70" i="7"/>
  <c r="E20" i="9" s="1"/>
  <c r="F68" i="7"/>
  <c r="E18" i="9" s="1"/>
  <c r="E70" i="7"/>
  <c r="D20" i="9" s="1"/>
  <c r="E68" i="7"/>
  <c r="D18" i="9" s="1"/>
  <c r="F69" i="7"/>
  <c r="E69" i="7"/>
  <c r="D19" i="9" s="1"/>
  <c r="F66" i="7"/>
  <c r="E16" i="9" s="1"/>
  <c r="E66" i="7"/>
  <c r="F65" i="7"/>
  <c r="E15" i="9" s="1"/>
  <c r="E65" i="7"/>
  <c r="D15" i="9" s="1"/>
  <c r="F64" i="7"/>
  <c r="E14" i="9" s="1"/>
  <c r="E64" i="7"/>
  <c r="F63" i="7"/>
  <c r="E13" i="9" s="1"/>
  <c r="E63" i="7"/>
  <c r="D13" i="9" s="1"/>
  <c r="G52" i="7"/>
  <c r="I52" i="7" s="1"/>
  <c r="E24" i="1"/>
  <c r="J35" i="7"/>
  <c r="F56" i="7"/>
  <c r="E56" i="7"/>
  <c r="I40" i="8"/>
  <c r="G37" i="8"/>
  <c r="I37" i="8" s="1"/>
  <c r="G36" i="8"/>
  <c r="I36" i="8" s="1"/>
  <c r="G35" i="8"/>
  <c r="I35" i="8" s="1"/>
  <c r="G34" i="8"/>
  <c r="G38" i="8" s="1"/>
  <c r="I26" i="8"/>
  <c r="I24" i="8"/>
  <c r="G26" i="8"/>
  <c r="G25" i="8"/>
  <c r="I25" i="8" s="1"/>
  <c r="G24" i="8"/>
  <c r="I18" i="8"/>
  <c r="G21" i="8"/>
  <c r="I21" i="8" s="1"/>
  <c r="G20" i="8"/>
  <c r="I20" i="8" s="1"/>
  <c r="G19" i="8"/>
  <c r="I19" i="8" s="1"/>
  <c r="G18" i="8"/>
  <c r="G17" i="8"/>
  <c r="I17" i="8" s="1"/>
  <c r="I22" i="8" s="1"/>
  <c r="J22" i="8" s="1"/>
  <c r="E59" i="7" s="1"/>
  <c r="D8" i="9" s="1"/>
  <c r="G6" i="8"/>
  <c r="I6" i="8" s="1"/>
  <c r="G7" i="8"/>
  <c r="I7" i="8" s="1"/>
  <c r="G8" i="8"/>
  <c r="I8" i="8" s="1"/>
  <c r="G9" i="8"/>
  <c r="I9" i="8" s="1"/>
  <c r="G10" i="8"/>
  <c r="I10" i="8" s="1"/>
  <c r="G11" i="8"/>
  <c r="I11" i="8" s="1"/>
  <c r="G12" i="8"/>
  <c r="I12" i="8" s="1"/>
  <c r="G13" i="8"/>
  <c r="I13" i="8" s="1"/>
  <c r="G14" i="8"/>
  <c r="I14" i="8" s="1"/>
  <c r="G5" i="8"/>
  <c r="I5" i="8" s="1"/>
  <c r="I15" i="8" s="1"/>
  <c r="J15" i="8" s="1"/>
  <c r="E58" i="7" s="1"/>
  <c r="E11" i="9"/>
  <c r="D11" i="9"/>
  <c r="I28" i="8" l="1"/>
  <c r="J28" i="8" s="1"/>
  <c r="E60" i="7" s="1"/>
  <c r="D9" i="9" s="1"/>
  <c r="I34" i="8"/>
  <c r="G18" i="10"/>
  <c r="G36" i="10" s="1"/>
  <c r="K18" i="10"/>
  <c r="K36" i="10" s="1"/>
  <c r="O18" i="10"/>
  <c r="O36" i="10" s="1"/>
  <c r="P11" i="10"/>
  <c r="P13" i="10"/>
  <c r="P15" i="10"/>
  <c r="P17" i="10"/>
  <c r="I24" i="10"/>
  <c r="M24" i="10"/>
  <c r="M36" i="10" s="1"/>
  <c r="P21" i="10"/>
  <c r="P23" i="10"/>
  <c r="P35" i="10"/>
  <c r="F61" i="7" s="1"/>
  <c r="I29" i="10"/>
  <c r="M29" i="10"/>
  <c r="I36" i="10"/>
  <c r="P27" i="10"/>
  <c r="E10" i="9"/>
  <c r="G61" i="7"/>
  <c r="F10" i="9" s="1"/>
  <c r="G57" i="4"/>
  <c r="F36" i="1"/>
  <c r="G21" i="7" s="1"/>
  <c r="K21" i="7" s="1"/>
  <c r="J36" i="1"/>
  <c r="L21" i="7"/>
  <c r="J135" i="7"/>
  <c r="G69" i="7"/>
  <c r="F19" i="9" s="1"/>
  <c r="P9" i="10"/>
  <c r="P18" i="10" s="1"/>
  <c r="F58" i="7" s="1"/>
  <c r="P20" i="10"/>
  <c r="P26" i="10"/>
  <c r="P29" i="10" s="1"/>
  <c r="F60" i="7" s="1"/>
  <c r="E9" i="9" s="1"/>
  <c r="D129" i="7"/>
  <c r="I61" i="7"/>
  <c r="G64" i="7"/>
  <c r="F14" i="9" s="1"/>
  <c r="G66" i="7"/>
  <c r="F16" i="9" s="1"/>
  <c r="F72" i="7"/>
  <c r="E22" i="9" s="1"/>
  <c r="G68" i="7"/>
  <c r="G79" i="7"/>
  <c r="F29" i="9" s="1"/>
  <c r="E129" i="7"/>
  <c r="K35" i="7"/>
  <c r="K31" i="7" s="1"/>
  <c r="D16" i="9"/>
  <c r="F67" i="7"/>
  <c r="E17" i="9" s="1"/>
  <c r="I69" i="7"/>
  <c r="I101" i="7" s="1"/>
  <c r="L35" i="7"/>
  <c r="J68" i="7"/>
  <c r="E67" i="7"/>
  <c r="D17" i="9" s="1"/>
  <c r="G76" i="7"/>
  <c r="G78" i="7"/>
  <c r="M35" i="7"/>
  <c r="M31" i="7" s="1"/>
  <c r="G71" i="7"/>
  <c r="G73" i="7"/>
  <c r="G74" i="7"/>
  <c r="F77" i="7"/>
  <c r="E27" i="9" s="1"/>
  <c r="E62" i="7"/>
  <c r="D12" i="9" s="1"/>
  <c r="G63" i="7"/>
  <c r="I63" i="7" s="1"/>
  <c r="G70" i="7"/>
  <c r="D26" i="9"/>
  <c r="G65" i="7"/>
  <c r="E77" i="7"/>
  <c r="D27" i="9" s="1"/>
  <c r="G80" i="7"/>
  <c r="D14" i="9"/>
  <c r="D29" i="9"/>
  <c r="E19" i="9"/>
  <c r="E29" i="9"/>
  <c r="F62" i="7"/>
  <c r="E12" i="9" s="1"/>
  <c r="G75" i="7"/>
  <c r="D28" i="9"/>
  <c r="E23" i="9"/>
  <c r="E72" i="7"/>
  <c r="D22" i="9" s="1"/>
  <c r="G56" i="7"/>
  <c r="G22" i="8"/>
  <c r="G15" i="8"/>
  <c r="J69" i="7" l="1"/>
  <c r="E101" i="7"/>
  <c r="P24" i="10"/>
  <c r="F59" i="7" s="1"/>
  <c r="I30" i="8"/>
  <c r="I42" i="8" s="1"/>
  <c r="G60" i="7"/>
  <c r="L60" i="7" s="1"/>
  <c r="I31" i="7"/>
  <c r="J31" i="7"/>
  <c r="J21" i="7"/>
  <c r="G129" i="7"/>
  <c r="L31" i="7"/>
  <c r="M21" i="7"/>
  <c r="I21" i="7"/>
  <c r="H129" i="7"/>
  <c r="F129" i="7"/>
  <c r="P36" i="10"/>
  <c r="F22" i="9"/>
  <c r="H22" i="9" s="1"/>
  <c r="J79" i="7"/>
  <c r="F23" i="9"/>
  <c r="F104" i="7"/>
  <c r="F18" i="9"/>
  <c r="E104" i="7"/>
  <c r="F101" i="7"/>
  <c r="L79" i="7"/>
  <c r="M79" i="7"/>
  <c r="M77" i="7" s="1"/>
  <c r="M104" i="7" s="1"/>
  <c r="M100" i="7" s="1"/>
  <c r="K79" i="7"/>
  <c r="J66" i="7"/>
  <c r="F17" i="9"/>
  <c r="H17" i="9" s="1"/>
  <c r="I64" i="7"/>
  <c r="I68" i="7"/>
  <c r="I67" i="7" s="1"/>
  <c r="F30" i="9"/>
  <c r="J80" i="7"/>
  <c r="K80" i="7"/>
  <c r="K73" i="7"/>
  <c r="J73" i="7"/>
  <c r="F26" i="9"/>
  <c r="L76" i="7"/>
  <c r="L101" i="7" s="1"/>
  <c r="K76" i="7"/>
  <c r="L56" i="7"/>
  <c r="K56" i="7"/>
  <c r="M56" i="7"/>
  <c r="I56" i="7"/>
  <c r="J56" i="7"/>
  <c r="F9" i="9"/>
  <c r="F11" i="9"/>
  <c r="F24" i="9"/>
  <c r="J74" i="7"/>
  <c r="K74" i="7"/>
  <c r="L77" i="7"/>
  <c r="F25" i="9"/>
  <c r="L75" i="7"/>
  <c r="K75" i="7"/>
  <c r="F15" i="9"/>
  <c r="I65" i="7"/>
  <c r="J65" i="7"/>
  <c r="F20" i="9"/>
  <c r="J70" i="7"/>
  <c r="K70" i="7"/>
  <c r="F21" i="9"/>
  <c r="K71" i="7"/>
  <c r="J71" i="7"/>
  <c r="J101" i="7" s="1"/>
  <c r="F27" i="9"/>
  <c r="H27" i="9" s="1"/>
  <c r="F28" i="9"/>
  <c r="F12" i="9"/>
  <c r="H12" i="9" s="1"/>
  <c r="D7" i="9"/>
  <c r="D6" i="9" s="1"/>
  <c r="G58" i="7"/>
  <c r="F13" i="9"/>
  <c r="G62" i="7"/>
  <c r="D104" i="7" s="1"/>
  <c r="E7" i="9"/>
  <c r="G72" i="7"/>
  <c r="G67" i="7"/>
  <c r="G77" i="7"/>
  <c r="G104" i="7" s="1"/>
  <c r="F57" i="7"/>
  <c r="E57" i="7"/>
  <c r="E6" i="9" l="1"/>
  <c r="E4" i="9" s="1"/>
  <c r="E8" i="9"/>
  <c r="G59" i="7"/>
  <c r="J60" i="7"/>
  <c r="K60" i="7"/>
  <c r="I60" i="7"/>
  <c r="M60" i="7"/>
  <c r="K101" i="7"/>
  <c r="I129" i="7"/>
  <c r="K129" i="7" s="1"/>
  <c r="L72" i="7"/>
  <c r="L104" i="7"/>
  <c r="L100" i="7" s="1"/>
  <c r="H104" i="7"/>
  <c r="J67" i="7"/>
  <c r="I62" i="7"/>
  <c r="H10" i="9"/>
  <c r="I22" i="9" s="1"/>
  <c r="H101" i="7"/>
  <c r="K67" i="7"/>
  <c r="J62" i="7"/>
  <c r="J77" i="7"/>
  <c r="J58" i="7"/>
  <c r="K58" i="7"/>
  <c r="L58" i="7"/>
  <c r="M58" i="7"/>
  <c r="I58" i="7"/>
  <c r="K72" i="7"/>
  <c r="K77" i="7"/>
  <c r="K104" i="7" s="1"/>
  <c r="K100" i="7" s="1"/>
  <c r="J72" i="7"/>
  <c r="F6" i="9"/>
  <c r="F4" i="9" s="1"/>
  <c r="G57" i="7"/>
  <c r="F7" i="9"/>
  <c r="D4" i="9"/>
  <c r="F5" i="7"/>
  <c r="J9" i="6"/>
  <c r="L9" i="6" s="1"/>
  <c r="E18" i="1" s="1"/>
  <c r="J10" i="6"/>
  <c r="J11" i="6"/>
  <c r="L11" i="6" s="1"/>
  <c r="E19" i="1" s="1"/>
  <c r="J8" i="6"/>
  <c r="M57" i="7" l="1"/>
  <c r="F8" i="9"/>
  <c r="I59" i="7"/>
  <c r="K59" i="7"/>
  <c r="K57" i="7" s="1"/>
  <c r="O57" i="7" s="1"/>
  <c r="P57" i="7" s="1"/>
  <c r="M59" i="7"/>
  <c r="J59" i="7"/>
  <c r="L59" i="7"/>
  <c r="J13" i="6"/>
  <c r="L8" i="6"/>
  <c r="M22" i="1"/>
  <c r="L10" i="6"/>
  <c r="E22" i="1" s="1"/>
  <c r="I57" i="7"/>
  <c r="L57" i="7"/>
  <c r="J57" i="7"/>
  <c r="O67" i="7"/>
  <c r="P67" i="7" s="1"/>
  <c r="O62" i="7"/>
  <c r="P62" i="7" s="1"/>
  <c r="I104" i="7"/>
  <c r="J104" i="7"/>
  <c r="J100" i="7" s="1"/>
  <c r="I12" i="9"/>
  <c r="I27" i="9"/>
  <c r="I17" i="9"/>
  <c r="O77" i="7"/>
  <c r="P77" i="7" s="1"/>
  <c r="O72" i="7"/>
  <c r="P72" i="7" s="1"/>
  <c r="E5" i="7"/>
  <c r="F23" i="3"/>
  <c r="F22" i="3" s="1"/>
  <c r="E69" i="1" s="1"/>
  <c r="I69" i="1" s="1"/>
  <c r="L13" i="6" l="1"/>
  <c r="E17" i="1"/>
  <c r="F17" i="3"/>
  <c r="H54" i="4" l="1"/>
  <c r="H50" i="4"/>
  <c r="H44" i="4"/>
  <c r="H46" i="4"/>
  <c r="H42" i="4"/>
  <c r="F42" i="4"/>
  <c r="H40" i="4"/>
  <c r="F37" i="3"/>
  <c r="F22" i="1"/>
  <c r="H36" i="5"/>
  <c r="H35" i="5"/>
  <c r="H34" i="5"/>
  <c r="H25" i="5"/>
  <c r="H26" i="5"/>
  <c r="H27" i="5"/>
  <c r="H28" i="5"/>
  <c r="H29" i="5"/>
  <c r="H30" i="5"/>
  <c r="H31" i="5"/>
  <c r="H32" i="5"/>
  <c r="H24" i="5"/>
  <c r="H21" i="5"/>
  <c r="H20" i="5"/>
  <c r="H19" i="5"/>
  <c r="H10" i="5"/>
  <c r="H11" i="5"/>
  <c r="H12" i="5"/>
  <c r="H13" i="5"/>
  <c r="H14" i="5"/>
  <c r="H15" i="5"/>
  <c r="H16" i="5"/>
  <c r="H17" i="5"/>
  <c r="H9" i="5"/>
  <c r="H18" i="5" s="1"/>
  <c r="F25" i="1"/>
  <c r="E55" i="7" s="1"/>
  <c r="F50" i="4"/>
  <c r="F15" i="4"/>
  <c r="F16" i="4"/>
  <c r="F36" i="3"/>
  <c r="F35" i="3"/>
  <c r="F13" i="4"/>
  <c r="F12" i="4" s="1"/>
  <c r="E30" i="1" s="1"/>
  <c r="H47" i="5"/>
  <c r="H46" i="5"/>
  <c r="F33" i="1"/>
  <c r="F44" i="4"/>
  <c r="F40" i="4"/>
  <c r="F29" i="4"/>
  <c r="E41" i="1" s="1"/>
  <c r="F31" i="4"/>
  <c r="E40" i="1"/>
  <c r="J40" i="1" s="1"/>
  <c r="F22" i="4"/>
  <c r="E39" i="1" s="1"/>
  <c r="F20" i="4"/>
  <c r="E38" i="1" s="1"/>
  <c r="F11" i="4"/>
  <c r="F10" i="4" s="1"/>
  <c r="E32" i="1" s="1"/>
  <c r="F9" i="4"/>
  <c r="F8" i="4" s="1"/>
  <c r="F7" i="4"/>
  <c r="F6" i="4" s="1"/>
  <c r="F66" i="1"/>
  <c r="F69" i="1"/>
  <c r="F21" i="3"/>
  <c r="F20" i="3"/>
  <c r="F26" i="3"/>
  <c r="F27" i="3"/>
  <c r="F28" i="3"/>
  <c r="F29" i="3"/>
  <c r="F30" i="3"/>
  <c r="F31" i="3"/>
  <c r="F32" i="3"/>
  <c r="F33" i="3"/>
  <c r="F25" i="3"/>
  <c r="F18" i="3"/>
  <c r="F12" i="3"/>
  <c r="F13" i="3"/>
  <c r="F14" i="3"/>
  <c r="F15" i="3"/>
  <c r="F16" i="3"/>
  <c r="F11" i="3"/>
  <c r="F7" i="3"/>
  <c r="F6" i="3"/>
  <c r="J25" i="2"/>
  <c r="J22" i="2"/>
  <c r="K22" i="2" s="1"/>
  <c r="E11" i="1" s="1"/>
  <c r="J24" i="2"/>
  <c r="K24" i="2" s="1"/>
  <c r="E13" i="1" s="1"/>
  <c r="J23" i="2"/>
  <c r="K23" i="2" s="1"/>
  <c r="E12" i="1" s="1"/>
  <c r="K21" i="2"/>
  <c r="E10" i="1" s="1"/>
  <c r="K20" i="2"/>
  <c r="E9" i="1" s="1"/>
  <c r="F39" i="1" l="1"/>
  <c r="G24" i="7" s="1"/>
  <c r="J39" i="1"/>
  <c r="J38" i="1"/>
  <c r="F38" i="1"/>
  <c r="G23" i="7" s="1"/>
  <c r="H8" i="5"/>
  <c r="E42" i="1"/>
  <c r="F42" i="1" s="1"/>
  <c r="G26" i="7" s="1"/>
  <c r="J26" i="7" s="1"/>
  <c r="F19" i="1"/>
  <c r="E47" i="7" s="1"/>
  <c r="M18" i="1"/>
  <c r="F17" i="1"/>
  <c r="M16" i="1"/>
  <c r="F18" i="1"/>
  <c r="E46" i="7" s="1"/>
  <c r="M17" i="1"/>
  <c r="F9" i="1"/>
  <c r="K9" i="1"/>
  <c r="F11" i="1"/>
  <c r="K11" i="1"/>
  <c r="F13" i="1"/>
  <c r="K13" i="1"/>
  <c r="F10" i="1"/>
  <c r="K10" i="1"/>
  <c r="F12" i="1"/>
  <c r="K12" i="1"/>
  <c r="F32" i="1"/>
  <c r="J32" i="1"/>
  <c r="F41" i="1"/>
  <c r="J41" i="1"/>
  <c r="F47" i="1"/>
  <c r="G13" i="7" s="1"/>
  <c r="K13" i="7" s="1"/>
  <c r="J47" i="1"/>
  <c r="F30" i="1"/>
  <c r="J30" i="1"/>
  <c r="F48" i="1"/>
  <c r="G14" i="7" s="1"/>
  <c r="M14" i="7" s="1"/>
  <c r="J48" i="1"/>
  <c r="F52" i="1"/>
  <c r="G18" i="7" s="1"/>
  <c r="I18" i="7" s="1"/>
  <c r="J52" i="1"/>
  <c r="F46" i="1"/>
  <c r="G12" i="7" s="1"/>
  <c r="K12" i="7" s="1"/>
  <c r="J46" i="1"/>
  <c r="F49" i="1"/>
  <c r="G15" i="7" s="1"/>
  <c r="M15" i="7" s="1"/>
  <c r="J49" i="1"/>
  <c r="H57" i="4"/>
  <c r="H64" i="4" s="1"/>
  <c r="G50" i="3"/>
  <c r="H50" i="3"/>
  <c r="G48" i="3"/>
  <c r="H48" i="3"/>
  <c r="G49" i="3"/>
  <c r="H49" i="3"/>
  <c r="G43" i="3"/>
  <c r="E74" i="1" s="1"/>
  <c r="I74" i="1" s="1"/>
  <c r="E65" i="1"/>
  <c r="G46" i="3"/>
  <c r="E64" i="1"/>
  <c r="F34" i="3"/>
  <c r="E70" i="1" s="1"/>
  <c r="F40" i="1"/>
  <c r="J47" i="5"/>
  <c r="I47" i="5"/>
  <c r="E61" i="1" s="1"/>
  <c r="K47" i="5"/>
  <c r="J46" i="5"/>
  <c r="K46" i="5"/>
  <c r="K45" i="5" s="1"/>
  <c r="K49" i="5" s="1"/>
  <c r="I46" i="5"/>
  <c r="E60" i="1" s="1"/>
  <c r="F60" i="1" s="1"/>
  <c r="I14" i="7"/>
  <c r="K14" i="7"/>
  <c r="J13" i="7"/>
  <c r="L13" i="7"/>
  <c r="I13" i="7"/>
  <c r="I15" i="7"/>
  <c r="F24" i="1"/>
  <c r="F55" i="7" s="1"/>
  <c r="G55" i="7" s="1"/>
  <c r="F47" i="7"/>
  <c r="G9" i="7"/>
  <c r="F21" i="1"/>
  <c r="H33" i="5"/>
  <c r="H23" i="5" s="1"/>
  <c r="F14" i="4"/>
  <c r="E37" i="1" s="1"/>
  <c r="F54" i="4"/>
  <c r="F46" i="4"/>
  <c r="E31" i="1"/>
  <c r="E29" i="1"/>
  <c r="J29" i="1" s="1"/>
  <c r="E56" i="1"/>
  <c r="H45" i="5"/>
  <c r="H49" i="5" s="1"/>
  <c r="F43" i="3"/>
  <c r="F19" i="3"/>
  <c r="E68" i="1" s="1"/>
  <c r="F10" i="3"/>
  <c r="E67" i="1" s="1"/>
  <c r="F46" i="3"/>
  <c r="F24" i="3"/>
  <c r="E71" i="1" s="1"/>
  <c r="E16" i="1"/>
  <c r="F5" i="3"/>
  <c r="K25" i="2"/>
  <c r="J24" i="7" l="1"/>
  <c r="K24" i="7"/>
  <c r="L24" i="7"/>
  <c r="M24" i="7"/>
  <c r="I24" i="7"/>
  <c r="F37" i="1"/>
  <c r="G22" i="7" s="1"/>
  <c r="J37" i="1"/>
  <c r="K15" i="7"/>
  <c r="L15" i="7"/>
  <c r="J45" i="5"/>
  <c r="J49" i="5" s="1"/>
  <c r="E35" i="1"/>
  <c r="J42" i="1"/>
  <c r="M23" i="7"/>
  <c r="I23" i="7"/>
  <c r="J23" i="7"/>
  <c r="K23" i="7"/>
  <c r="L23" i="7"/>
  <c r="F46" i="7"/>
  <c r="M13" i="7"/>
  <c r="L14" i="7"/>
  <c r="J14" i="7"/>
  <c r="G8" i="7"/>
  <c r="K8" i="7" s="1"/>
  <c r="L12" i="7"/>
  <c r="K18" i="7"/>
  <c r="I12" i="7"/>
  <c r="J15" i="7"/>
  <c r="J12" i="7"/>
  <c r="M12" i="7"/>
  <c r="M18" i="7"/>
  <c r="L18" i="7"/>
  <c r="J18" i="7"/>
  <c r="K26" i="7"/>
  <c r="F33" i="4"/>
  <c r="H62" i="4" s="1"/>
  <c r="H66" i="4" s="1"/>
  <c r="M8" i="7"/>
  <c r="F16" i="1"/>
  <c r="J8" i="7"/>
  <c r="L8" i="7"/>
  <c r="M5" i="1"/>
  <c r="M4" i="1" s="1"/>
  <c r="E59" i="1"/>
  <c r="L60" i="1"/>
  <c r="F61" i="1"/>
  <c r="F59" i="1" s="1"/>
  <c r="G19" i="7" s="1"/>
  <c r="L19" i="7" s="1"/>
  <c r="L61" i="1"/>
  <c r="F56" i="1"/>
  <c r="L56" i="1"/>
  <c r="K19" i="2"/>
  <c r="K27" i="2" s="1"/>
  <c r="E14" i="1"/>
  <c r="M26" i="7"/>
  <c r="F50" i="1"/>
  <c r="G16" i="7" s="1"/>
  <c r="K16" i="7" s="1"/>
  <c r="J50" i="1"/>
  <c r="F31" i="1"/>
  <c r="J31" i="1"/>
  <c r="F51" i="1"/>
  <c r="G17" i="7" s="1"/>
  <c r="J17" i="7" s="1"/>
  <c r="J51" i="1"/>
  <c r="L26" i="7"/>
  <c r="I26" i="7"/>
  <c r="F68" i="1"/>
  <c r="G28" i="7" s="1"/>
  <c r="I68" i="1"/>
  <c r="F29" i="1"/>
  <c r="F28" i="1" s="1"/>
  <c r="E28" i="1"/>
  <c r="F64" i="1"/>
  <c r="E49" i="7" s="1"/>
  <c r="I64" i="1"/>
  <c r="F65" i="1"/>
  <c r="F49" i="7" s="1"/>
  <c r="I65" i="1"/>
  <c r="F71" i="1"/>
  <c r="G91" i="7" s="1"/>
  <c r="G90" i="7" s="1"/>
  <c r="I71" i="1"/>
  <c r="F67" i="1"/>
  <c r="I67" i="1"/>
  <c r="F70" i="1"/>
  <c r="I70" i="1"/>
  <c r="F38" i="3"/>
  <c r="H56" i="3" s="1"/>
  <c r="H60" i="3" s="1"/>
  <c r="G51" i="3"/>
  <c r="H58" i="3" s="1"/>
  <c r="E75" i="1"/>
  <c r="E73" i="1" s="1"/>
  <c r="H46" i="3"/>
  <c r="H51" i="3" s="1"/>
  <c r="I28" i="7"/>
  <c r="G25" i="7"/>
  <c r="F35" i="1"/>
  <c r="M55" i="7"/>
  <c r="J55" i="7"/>
  <c r="L55" i="7"/>
  <c r="I55" i="7"/>
  <c r="K55" i="7"/>
  <c r="I45" i="5"/>
  <c r="I49" i="5" s="1"/>
  <c r="K56" i="5" s="1"/>
  <c r="F57" i="4"/>
  <c r="L9" i="7"/>
  <c r="K9" i="7"/>
  <c r="F133" i="7" s="1"/>
  <c r="J9" i="7"/>
  <c r="E133" i="7" s="1"/>
  <c r="I9" i="7"/>
  <c r="M9" i="7"/>
  <c r="H133" i="7" s="1"/>
  <c r="G46" i="7"/>
  <c r="G47" i="7"/>
  <c r="H38" i="5"/>
  <c r="K54" i="5" s="1"/>
  <c r="E57" i="1"/>
  <c r="L57" i="1" s="1"/>
  <c r="F74" i="1"/>
  <c r="G29" i="7" s="1"/>
  <c r="I29" i="7" s="1"/>
  <c r="E63" i="1"/>
  <c r="F51" i="3"/>
  <c r="J45" i="1"/>
  <c r="L22" i="7" l="1"/>
  <c r="M22" i="7"/>
  <c r="I22" i="7"/>
  <c r="J22" i="7"/>
  <c r="K22" i="7"/>
  <c r="K58" i="5"/>
  <c r="I16" i="7"/>
  <c r="L16" i="7"/>
  <c r="I8" i="7"/>
  <c r="D133" i="7" s="1"/>
  <c r="F63" i="1"/>
  <c r="M17" i="7"/>
  <c r="K17" i="7"/>
  <c r="J16" i="7"/>
  <c r="M16" i="7"/>
  <c r="I17" i="7"/>
  <c r="L17" i="7"/>
  <c r="G133" i="7"/>
  <c r="K14" i="1"/>
  <c r="K5" i="1" s="1"/>
  <c r="K4" i="1" s="1"/>
  <c r="F14" i="1"/>
  <c r="F8" i="1" s="1"/>
  <c r="E8" i="1"/>
  <c r="F53" i="1"/>
  <c r="G20" i="7" s="1"/>
  <c r="L20" i="7" s="1"/>
  <c r="J53" i="1"/>
  <c r="J5" i="1" s="1"/>
  <c r="J19" i="7"/>
  <c r="M19" i="7"/>
  <c r="E50" i="7"/>
  <c r="F50" i="7"/>
  <c r="G49" i="7"/>
  <c r="I49" i="7" s="1"/>
  <c r="F75" i="1"/>
  <c r="G30" i="7" s="1"/>
  <c r="I30" i="7" s="1"/>
  <c r="D126" i="7" s="1"/>
  <c r="I75" i="1"/>
  <c r="I5" i="1" s="1"/>
  <c r="I4" i="1" s="1"/>
  <c r="I19" i="7"/>
  <c r="K19" i="7"/>
  <c r="J25" i="7"/>
  <c r="L25" i="7"/>
  <c r="I25" i="7"/>
  <c r="K25" i="7"/>
  <c r="M25" i="7"/>
  <c r="F107" i="7"/>
  <c r="D107" i="7"/>
  <c r="E107" i="7"/>
  <c r="G107" i="7"/>
  <c r="L46" i="7"/>
  <c r="K46" i="7"/>
  <c r="J46" i="7"/>
  <c r="I46" i="7"/>
  <c r="M46" i="7"/>
  <c r="K47" i="7"/>
  <c r="J47" i="7"/>
  <c r="I47" i="7"/>
  <c r="M47" i="7"/>
  <c r="L47" i="7"/>
  <c r="F73" i="1"/>
  <c r="F57" i="1"/>
  <c r="L5" i="1" s="1"/>
  <c r="L4" i="1" s="1"/>
  <c r="E55" i="1"/>
  <c r="E44" i="1"/>
  <c r="F45" i="1"/>
  <c r="G11" i="7" s="1"/>
  <c r="G10" i="7" s="1"/>
  <c r="F45" i="7" l="1"/>
  <c r="E45" i="7"/>
  <c r="I133" i="7"/>
  <c r="K133" i="7" s="1"/>
  <c r="K20" i="7"/>
  <c r="I20" i="7"/>
  <c r="E5" i="1"/>
  <c r="J20" i="7"/>
  <c r="M20" i="7"/>
  <c r="J4" i="1"/>
  <c r="I27" i="7"/>
  <c r="I126" i="7"/>
  <c r="K126" i="7" s="1"/>
  <c r="K124" i="7" s="1"/>
  <c r="D124" i="7"/>
  <c r="G27" i="7"/>
  <c r="G50" i="7"/>
  <c r="I50" i="7" s="1"/>
  <c r="I102" i="7" s="1"/>
  <c r="I100" i="7" s="1"/>
  <c r="F54" i="7"/>
  <c r="E54" i="7"/>
  <c r="L107" i="7"/>
  <c r="I107" i="7"/>
  <c r="M107" i="7"/>
  <c r="K107" i="7"/>
  <c r="J107" i="7"/>
  <c r="H107" i="7"/>
  <c r="L11" i="7"/>
  <c r="G130" i="7" s="1"/>
  <c r="M11" i="7"/>
  <c r="I11" i="7"/>
  <c r="D130" i="7" s="1"/>
  <c r="J11" i="7"/>
  <c r="K11" i="7"/>
  <c r="F44" i="1"/>
  <c r="F55" i="1"/>
  <c r="E130" i="7" l="1"/>
  <c r="G7" i="7"/>
  <c r="G6" i="7" s="1"/>
  <c r="G5" i="7" s="1"/>
  <c r="G45" i="7"/>
  <c r="E108" i="7" s="1"/>
  <c r="E106" i="7" s="1"/>
  <c r="H130" i="7"/>
  <c r="F102" i="7"/>
  <c r="F100" i="7" s="1"/>
  <c r="F130" i="7"/>
  <c r="F127" i="7" s="1"/>
  <c r="G102" i="7"/>
  <c r="G100" i="7" s="1"/>
  <c r="I124" i="7"/>
  <c r="D102" i="7"/>
  <c r="D100" i="7" s="1"/>
  <c r="E102" i="7"/>
  <c r="E100" i="7" s="1"/>
  <c r="F5" i="1"/>
  <c r="K10" i="7"/>
  <c r="I10" i="7"/>
  <c r="G127" i="7"/>
  <c r="L10" i="7"/>
  <c r="E127" i="7"/>
  <c r="J10" i="7"/>
  <c r="H127" i="7"/>
  <c r="M10" i="7"/>
  <c r="G54" i="7"/>
  <c r="D127" i="7"/>
  <c r="D108" i="7"/>
  <c r="D106" i="7" s="1"/>
  <c r="G108" i="7"/>
  <c r="G106" i="7" s="1"/>
  <c r="K45" i="7"/>
  <c r="K108" i="7" s="1"/>
  <c r="K106" i="7" s="1"/>
  <c r="I45" i="7"/>
  <c r="I108" i="7" s="1"/>
  <c r="I106" i="7" s="1"/>
  <c r="L45" i="7"/>
  <c r="L108" i="7" s="1"/>
  <c r="L106" i="7" s="1"/>
  <c r="L7" i="7"/>
  <c r="L6" i="7" s="1"/>
  <c r="K7" i="7"/>
  <c r="K6" i="7" s="1"/>
  <c r="J7" i="7"/>
  <c r="J6" i="7" s="1"/>
  <c r="I7" i="7"/>
  <c r="I6" i="7" s="1"/>
  <c r="I5" i="7" s="1"/>
  <c r="M7" i="7"/>
  <c r="M6" i="7" s="1"/>
  <c r="F43" i="7"/>
  <c r="F41" i="7" s="1"/>
  <c r="M45" i="7" l="1"/>
  <c r="M108" i="7" s="1"/>
  <c r="M106" i="7" s="1"/>
  <c r="J45" i="7"/>
  <c r="J108" i="7" s="1"/>
  <c r="J106" i="7" s="1"/>
  <c r="F108" i="7"/>
  <c r="F106" i="7" s="1"/>
  <c r="H106" i="7" s="1"/>
  <c r="H102" i="7"/>
  <c r="H100" i="7" s="1"/>
  <c r="K5" i="7"/>
  <c r="K111" i="7" s="1"/>
  <c r="M5" i="7"/>
  <c r="M111" i="7" s="1"/>
  <c r="J5" i="7"/>
  <c r="J111" i="7" s="1"/>
  <c r="L5" i="7"/>
  <c r="L111" i="7" s="1"/>
  <c r="I130" i="7"/>
  <c r="I127" i="7" s="1"/>
  <c r="F105" i="7"/>
  <c r="G105" i="7"/>
  <c r="K54" i="7"/>
  <c r="K105" i="7" s="1"/>
  <c r="M54" i="7"/>
  <c r="M105" i="7" s="1"/>
  <c r="D105" i="7"/>
  <c r="E105" i="7"/>
  <c r="J54" i="7"/>
  <c r="J105" i="7" s="1"/>
  <c r="L54" i="7"/>
  <c r="L105" i="7" s="1"/>
  <c r="I54" i="7"/>
  <c r="I105" i="7" s="1"/>
  <c r="I111" i="7"/>
  <c r="D134" i="7"/>
  <c r="D131" i="7" s="1"/>
  <c r="D135" i="7" s="1"/>
  <c r="K130" i="7"/>
  <c r="K127" i="7" s="1"/>
  <c r="H134" i="7"/>
  <c r="H131" i="7" s="1"/>
  <c r="H135" i="7" s="1"/>
  <c r="G134" i="7"/>
  <c r="G131" i="7" s="1"/>
  <c r="G135" i="7" s="1"/>
  <c r="F134" i="7"/>
  <c r="F131" i="7" s="1"/>
  <c r="F135" i="7" s="1"/>
  <c r="E134" i="7"/>
  <c r="E131" i="7" s="1"/>
  <c r="E135" i="7" s="1"/>
  <c r="D111" i="7"/>
  <c r="G111" i="7"/>
  <c r="E111" i="7"/>
  <c r="F111" i="7"/>
  <c r="E43" i="7"/>
  <c r="E41" i="7" s="1"/>
  <c r="H108" i="7" l="1"/>
  <c r="I134" i="7"/>
  <c r="I131" i="7" s="1"/>
  <c r="I135" i="7" s="1"/>
  <c r="O5" i="7"/>
  <c r="P5" i="7" s="1"/>
  <c r="F99" i="7"/>
  <c r="E99" i="7"/>
  <c r="G99" i="7"/>
  <c r="H111" i="7"/>
  <c r="G43" i="7"/>
  <c r="K134" i="7" l="1"/>
  <c r="K131" i="7" s="1"/>
  <c r="K135" i="7" s="1"/>
  <c r="J43" i="7"/>
  <c r="J41" i="7" s="1"/>
  <c r="J82" i="7" s="1"/>
  <c r="J99" i="7"/>
  <c r="K43" i="7"/>
  <c r="K41" i="7" s="1"/>
  <c r="K82" i="7" s="1"/>
  <c r="K99" i="7"/>
  <c r="L43" i="7"/>
  <c r="L41" i="7" s="1"/>
  <c r="L82" i="7" s="1"/>
  <c r="L99" i="7"/>
  <c r="M43" i="7"/>
  <c r="M41" i="7" s="1"/>
  <c r="M82" i="7" s="1"/>
  <c r="M99" i="7"/>
  <c r="I43" i="7"/>
  <c r="I41" i="7" s="1"/>
  <c r="I99" i="7"/>
  <c r="H105" i="7"/>
  <c r="H99" i="7" s="1"/>
  <c r="D99" i="7"/>
  <c r="O43" i="7"/>
  <c r="P43" i="7" s="1"/>
  <c r="G41" i="7"/>
  <c r="L3" i="7" l="1"/>
  <c r="L113" i="7"/>
  <c r="L115" i="7" s="1"/>
  <c r="J3" i="7"/>
  <c r="J113" i="7"/>
  <c r="J115" i="7" s="1"/>
  <c r="M3" i="7"/>
  <c r="M113" i="7"/>
  <c r="M115" i="7" s="1"/>
  <c r="K3" i="7"/>
  <c r="K113" i="7"/>
  <c r="K115" i="7" s="1"/>
  <c r="G82" i="7"/>
  <c r="O41" i="7"/>
  <c r="P41" i="7" s="1"/>
  <c r="I82" i="7"/>
  <c r="M117" i="7" l="1"/>
  <c r="M119" i="7"/>
  <c r="L119" i="7"/>
  <c r="L117" i="7"/>
  <c r="K119" i="7"/>
  <c r="K117" i="7"/>
  <c r="J119" i="7"/>
  <c r="J117" i="7"/>
  <c r="O82" i="7"/>
  <c r="P82" i="7" s="1"/>
  <c r="I113" i="7"/>
  <c r="I115" i="7" s="1"/>
  <c r="D113" i="7"/>
  <c r="D115" i="7" s="1"/>
  <c r="E113" i="7"/>
  <c r="E115" i="7" s="1"/>
  <c r="F113" i="7"/>
  <c r="F115" i="7" s="1"/>
  <c r="G113" i="7"/>
  <c r="G115" i="7" s="1"/>
  <c r="I3" i="7"/>
  <c r="O3" i="7" s="1"/>
  <c r="G3" i="7"/>
  <c r="H5" i="7" l="1"/>
  <c r="H41" i="7"/>
  <c r="I117" i="7"/>
  <c r="O117" i="7" s="1"/>
  <c r="O115" i="7"/>
  <c r="I119" i="7"/>
  <c r="O119" i="7" s="1"/>
  <c r="H113" i="7"/>
  <c r="H115" i="7" s="1"/>
  <c r="G85" i="7"/>
  <c r="G84" i="7"/>
  <c r="P3" i="7"/>
  <c r="H82" i="7"/>
  <c r="P115" i="7" l="1"/>
  <c r="H117" i="7"/>
  <c r="P117" i="7" s="1"/>
  <c r="H119" i="7"/>
  <c r="P119" i="7" s="1"/>
  <c r="G87" i="7"/>
  <c r="G88" i="7"/>
</calcChain>
</file>

<file path=xl/comments1.xml><?xml version="1.0" encoding="utf-8"?>
<comments xmlns="http://schemas.openxmlformats.org/spreadsheetml/2006/main">
  <authors>
    <author>TOSHIBA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Grille salariale TRIAS - Personnel avec 3 ans d'expérience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Grille salariale TRIAS - 3 ans d'expérience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Achat de 2 laptops, 1 desktop, une imprimante photocopieuse, 1 vidéo projecteur, 1 appareil photo, 2 onduleurs, 2 appareils fixes de téléphones</t>
        </r>
      </text>
    </comment>
  </commentList>
</comments>
</file>

<file path=xl/sharedStrings.xml><?xml version="1.0" encoding="utf-8"?>
<sst xmlns="http://schemas.openxmlformats.org/spreadsheetml/2006/main" count="881" uniqueCount="496">
  <si>
    <t>Administration, coordination et encadrement du programme</t>
  </si>
  <si>
    <t>Personnel expatrié</t>
  </si>
  <si>
    <t>Chargé de programme - Ludovic Joly</t>
  </si>
  <si>
    <t>Salaire, assurances, sécurité sociale</t>
  </si>
  <si>
    <t>Indemnités locales</t>
  </si>
  <si>
    <t>Transport aérien (avion, bagages, passeports, visa de résidence)</t>
  </si>
  <si>
    <t>Frais de mission Europe (déplacement, hébergement, restauration)</t>
  </si>
  <si>
    <t>Frais de mission locaux (hébergement, restauration, visa, …)</t>
  </si>
  <si>
    <t>Frais divers (passeports; visa international;scolarité enfants, vaccinations, …)</t>
  </si>
  <si>
    <t>Personnel local</t>
  </si>
  <si>
    <t>Poste</t>
  </si>
  <si>
    <t>Entretien bâtiments et matériel bureau et informatique</t>
  </si>
  <si>
    <t>Consommables bureau</t>
  </si>
  <si>
    <t>Documentation générale : journaux et revues</t>
  </si>
  <si>
    <t>Frais bancaires</t>
  </si>
  <si>
    <t>Frais administratifs, Taxes diverses</t>
  </si>
  <si>
    <t>Achat de véhicules</t>
  </si>
  <si>
    <t>Infrastructures (aménagements intérieurs et extérieurs bureaux)</t>
  </si>
  <si>
    <t>Equipement bureautique et informatique</t>
  </si>
  <si>
    <t>Mobilier et climatisation bureaux</t>
  </si>
  <si>
    <t>Investissements divers</t>
  </si>
  <si>
    <t>Installation personnel expatrié</t>
  </si>
  <si>
    <t>Unité</t>
  </si>
  <si>
    <t>Quantité</t>
  </si>
  <si>
    <t>mois</t>
  </si>
  <si>
    <t>Prix total Euros par an</t>
  </si>
  <si>
    <t>Prix total Euros (5ans)</t>
  </si>
  <si>
    <t xml:space="preserve">mois </t>
  </si>
  <si>
    <t>Année</t>
  </si>
  <si>
    <t>Responsable Administratif et Financier</t>
  </si>
  <si>
    <t>Indemnité locale mensuelle</t>
  </si>
  <si>
    <t>Forfait transport aérien adulte billet famille</t>
  </si>
  <si>
    <t>Forfait transport aérien enfant 60% billet famille</t>
  </si>
  <si>
    <t>Forfait transport aérien enfant 20% billet famille</t>
  </si>
  <si>
    <t>Forfait transport aérien forfait 700 €</t>
  </si>
  <si>
    <t>Frais de mission Europe</t>
  </si>
  <si>
    <t>Frais de mission locaux</t>
  </si>
  <si>
    <t>Frais de scolarité = 2900 € par enfant admissible</t>
  </si>
  <si>
    <t>Forfait pour autres frais</t>
  </si>
  <si>
    <t xml:space="preserve">Salaire, assurances, sécurité sociale </t>
  </si>
  <si>
    <t>Transport aérien (avion, bagages)</t>
  </si>
  <si>
    <t>an</t>
  </si>
  <si>
    <t>Frais divers (passeports, visa internationaux, scolarité enfants, vaccinations, …)</t>
  </si>
  <si>
    <t>Visa Tanzanie EUR</t>
  </si>
  <si>
    <t>FF</t>
  </si>
  <si>
    <t>Loyers bureaux (Arusha)</t>
  </si>
  <si>
    <t>Mois</t>
  </si>
  <si>
    <t>Assurance locative bureau</t>
  </si>
  <si>
    <t>Gaz</t>
  </si>
  <si>
    <t>Electricité</t>
  </si>
  <si>
    <t>Eau</t>
  </si>
  <si>
    <t xml:space="preserve">Téléphone </t>
  </si>
  <si>
    <t>Internet</t>
  </si>
  <si>
    <t>Frais de représentation ordinaires</t>
  </si>
  <si>
    <t>Investissements (Iles de Paix)</t>
  </si>
  <si>
    <t>Véhicule</t>
  </si>
  <si>
    <t>Prix unitaire</t>
  </si>
  <si>
    <t>Commentaires</t>
  </si>
  <si>
    <t>Ordinateur portable</t>
  </si>
  <si>
    <t>Ordinateur</t>
  </si>
  <si>
    <t xml:space="preserve">Fauteuils de bureau </t>
  </si>
  <si>
    <t>Fauteuil</t>
  </si>
  <si>
    <t>Matelas 2 places</t>
  </si>
  <si>
    <t>Matelas</t>
  </si>
  <si>
    <t>Matériel GR</t>
  </si>
  <si>
    <t>Desktop</t>
  </si>
  <si>
    <t>Imprimante - Photocopieuse</t>
  </si>
  <si>
    <t>Appareil photo</t>
  </si>
  <si>
    <t>Vidéo projecteur</t>
  </si>
  <si>
    <t>Onduleur</t>
  </si>
  <si>
    <t>Bureau</t>
  </si>
  <si>
    <t>Switch</t>
  </si>
  <si>
    <t>Lit</t>
  </si>
  <si>
    <t>Etagère</t>
  </si>
  <si>
    <t>Table</t>
  </si>
  <si>
    <t>Chaise</t>
  </si>
  <si>
    <t>Gazinière</t>
  </si>
  <si>
    <t>Réfrégirateur</t>
  </si>
  <si>
    <t>Machine à laver</t>
  </si>
  <si>
    <t>Salon (fauteuil + table)</t>
  </si>
  <si>
    <t>Frais d'investissements (IDP seul)</t>
  </si>
  <si>
    <t>Mobilier de bureau</t>
  </si>
  <si>
    <t>Equipement de bureau</t>
  </si>
  <si>
    <t>Qtité</t>
  </si>
  <si>
    <t>Frais d'envoi - Documents Belgique (DHL)</t>
  </si>
  <si>
    <t>Frais fixes Compte IdP</t>
  </si>
  <si>
    <t>Frais sur confirmation de solde</t>
  </si>
  <si>
    <t>Compte</t>
  </si>
  <si>
    <t>Frais administratifs divers</t>
  </si>
  <si>
    <t>Budget</t>
  </si>
  <si>
    <t>Frais fixes Compte de Partenariat n°1</t>
  </si>
  <si>
    <t>Frais fixes Compte de Partenariat n°2</t>
  </si>
  <si>
    <t>Fonctionnement Général IDP</t>
  </si>
  <si>
    <t>An</t>
  </si>
  <si>
    <t>Frais de véhicules</t>
  </si>
  <si>
    <t>PU</t>
  </si>
  <si>
    <t>Km</t>
  </si>
  <si>
    <t>Conso</t>
  </si>
  <si>
    <t>Filtres à huile</t>
  </si>
  <si>
    <t>Filtre</t>
  </si>
  <si>
    <t>Filtres à gasoil</t>
  </si>
  <si>
    <t>Filtre à air</t>
  </si>
  <si>
    <t>Bidons huile 40</t>
  </si>
  <si>
    <t>Bidon</t>
  </si>
  <si>
    <t>Bidons huile 90</t>
  </si>
  <si>
    <t>Graisse</t>
  </si>
  <si>
    <t>Kg</t>
  </si>
  <si>
    <t>Batterie</t>
  </si>
  <si>
    <t>Entretien (Forfait)</t>
  </si>
  <si>
    <t>Changement des pneus</t>
  </si>
  <si>
    <t>Pneu</t>
  </si>
  <si>
    <t>Imprévus 10%</t>
  </si>
  <si>
    <t>Contrôle technique Véhicule</t>
  </si>
  <si>
    <t>Assurance Véhicule</t>
  </si>
  <si>
    <t>Carburant</t>
  </si>
  <si>
    <t>Pièces de rechange et entretien groupe électrogène + carburant</t>
  </si>
  <si>
    <t>Carburant Générateur</t>
  </si>
  <si>
    <t>Maintenance Générateur</t>
  </si>
  <si>
    <t>Salaire</t>
  </si>
  <si>
    <t>Total</t>
  </si>
  <si>
    <t>Chauffeur</t>
  </si>
  <si>
    <t>Transport</t>
  </si>
  <si>
    <t>Communication</t>
  </si>
  <si>
    <t>3.5</t>
  </si>
  <si>
    <t>4.5</t>
  </si>
  <si>
    <t>Assurance / Maladie</t>
  </si>
  <si>
    <t>Compagnie de sécurité</t>
  </si>
  <si>
    <t>Carburant Groupe électrogène</t>
  </si>
  <si>
    <t>Entretien Groupe électrogène</t>
  </si>
  <si>
    <t>Frais d'investissements (IDP et VSF)</t>
  </si>
  <si>
    <t>Imprimante</t>
  </si>
  <si>
    <t>Appareil</t>
  </si>
  <si>
    <t>Projecteur</t>
  </si>
  <si>
    <t>Machine</t>
  </si>
  <si>
    <t>Dispositif de photographie aérienne</t>
  </si>
  <si>
    <t>GPS</t>
  </si>
  <si>
    <t>Equipement</t>
  </si>
  <si>
    <t>Boîte Postale</t>
  </si>
  <si>
    <t>Frais du groupe électrogène</t>
  </si>
  <si>
    <t>Prix Unit</t>
  </si>
  <si>
    <t>Réceptionniste</t>
  </si>
  <si>
    <t>Personnel local (Partager avec VSF Belgique)</t>
  </si>
  <si>
    <t>Secrétaire / Réceptionniste</t>
  </si>
  <si>
    <t>Station</t>
  </si>
  <si>
    <t>Budget IDP</t>
  </si>
  <si>
    <t>Budget VSF</t>
  </si>
  <si>
    <t>Coffre fort</t>
  </si>
  <si>
    <t>Coffre</t>
  </si>
  <si>
    <t>Matériel de camping</t>
  </si>
  <si>
    <t>Training and equipment for local technicians</t>
  </si>
  <si>
    <t>Local capacities of management and maintenance of livestock water infrastructures are strengthened</t>
  </si>
  <si>
    <t xml:space="preserve">Execution of the infrastructure projects </t>
  </si>
  <si>
    <t>Collaboration agreements with communities and mobilizing their counterpart</t>
  </si>
  <si>
    <t>Technical studies of selected sites and budgeting</t>
  </si>
  <si>
    <t>Project selection (prioritization by village, group of villages, districts)</t>
  </si>
  <si>
    <t>New livestock water infrastructures in targeted districts are available</t>
  </si>
  <si>
    <t xml:space="preserve">Technical study of the projects </t>
  </si>
  <si>
    <t>Validation and prioritization of proposals made by the village communities</t>
  </si>
  <si>
    <t>Existing livestock water infrastructures in targeted villages are strengthened and extended (when possible)</t>
  </si>
  <si>
    <t xml:space="preserve">Diffusion of the villages development plans of pastoral water points </t>
  </si>
  <si>
    <t xml:space="preserve">Establishment of villages development plans of pastoral points of water </t>
  </si>
  <si>
    <t>Identify possible projects per village and their potential</t>
  </si>
  <si>
    <t>Analysis of the problem of access to water for livestock in the target villages</t>
  </si>
  <si>
    <t>Targeted villages have livestock water resources development plans (identification of their resources and local projects prioritization)</t>
  </si>
  <si>
    <t>Investments</t>
  </si>
  <si>
    <t>Vehicules</t>
  </si>
  <si>
    <t>Functionning</t>
  </si>
  <si>
    <t>Personal</t>
  </si>
  <si>
    <t>Field Allowances</t>
  </si>
  <si>
    <t>Ingénieur Watsan</t>
  </si>
  <si>
    <t>R 1</t>
  </si>
  <si>
    <t>R 2</t>
  </si>
  <si>
    <t>R 3</t>
  </si>
  <si>
    <t>R 4</t>
  </si>
  <si>
    <t xml:space="preserve">A 1.1 </t>
  </si>
  <si>
    <t>A 1.2</t>
  </si>
  <si>
    <t xml:space="preserve">A 1.3 </t>
  </si>
  <si>
    <t xml:space="preserve">A 1.4 </t>
  </si>
  <si>
    <t xml:space="preserve">A 2.1 </t>
  </si>
  <si>
    <t xml:space="preserve">A 2.2 </t>
  </si>
  <si>
    <t>A 2.3</t>
  </si>
  <si>
    <t>A 2.4</t>
  </si>
  <si>
    <t xml:space="preserve">A 3.1 </t>
  </si>
  <si>
    <t>A 3.2</t>
  </si>
  <si>
    <t>A 3.3</t>
  </si>
  <si>
    <t xml:space="preserve">A 3.4 </t>
  </si>
  <si>
    <t>A 4.1</t>
  </si>
  <si>
    <t xml:space="preserve">A 4.2 </t>
  </si>
  <si>
    <t xml:space="preserve">A 4.3 </t>
  </si>
  <si>
    <t>LONGIDO</t>
  </si>
  <si>
    <t>SIMANJIRO</t>
  </si>
  <si>
    <t>Achat de véhicule tout terrain (voyages longs et zones d'accès difficile)</t>
  </si>
  <si>
    <t>Achat de véhicule (déplacements ville, missions terrain zones d'accès aisé)</t>
  </si>
  <si>
    <t>COÛTS OPÉRATIONNELS</t>
  </si>
  <si>
    <t xml:space="preserve"> Frais IDP non pris en charge par le projet</t>
  </si>
  <si>
    <t xml:space="preserve"> Installation de personnel expatrié à Arusha</t>
  </si>
  <si>
    <t>LCDO functionning Budget for BFFS program (water component)</t>
  </si>
  <si>
    <t>Budget Line Item</t>
  </si>
  <si>
    <t>Unit</t>
  </si>
  <si>
    <t>Type</t>
  </si>
  <si>
    <t>Unit Cost</t>
  </si>
  <si>
    <t># of Units</t>
  </si>
  <si>
    <t>Total cost (Euro)</t>
  </si>
  <si>
    <t>% supported by IDP</t>
  </si>
  <si>
    <t>Budget supported by IDP</t>
  </si>
  <si>
    <t>Comments</t>
  </si>
  <si>
    <t>Personal Costs</t>
  </si>
  <si>
    <t>Coordinator</t>
  </si>
  <si>
    <t>Staff</t>
  </si>
  <si>
    <t>Monthly</t>
  </si>
  <si>
    <t>Finance and Administration Officer</t>
  </si>
  <si>
    <t>Cashier</t>
  </si>
  <si>
    <t>Water Technician</t>
  </si>
  <si>
    <t>Program Monitoring and Evaluation Officer</t>
  </si>
  <si>
    <t>Office Assistant</t>
  </si>
  <si>
    <t>Office/Compound Attendant</t>
  </si>
  <si>
    <t>Project Driver</t>
  </si>
  <si>
    <t>Security Officers</t>
  </si>
  <si>
    <t xml:space="preserve">10% Staff Pensions Fund Contribution (NSSF/PPF) </t>
  </si>
  <si>
    <t>various</t>
  </si>
  <si>
    <t>Sub Total (Personal Costs)</t>
  </si>
  <si>
    <t>Telephone and Internet subscription</t>
  </si>
  <si>
    <t xml:space="preserve">Office consumables (Electricity, water, stationeries and office supplies) </t>
  </si>
  <si>
    <t>Quarterly</t>
  </si>
  <si>
    <t>Postage and DHL</t>
  </si>
  <si>
    <t>Documentation and Communication costs</t>
  </si>
  <si>
    <t>Sub Total (Functioning Costs)</t>
  </si>
  <si>
    <t xml:space="preserve">Vehicles </t>
  </si>
  <si>
    <t>Fuel</t>
  </si>
  <si>
    <t>litres</t>
  </si>
  <si>
    <t>2x2500 km per month</t>
  </si>
  <si>
    <t>Insurance</t>
  </si>
  <si>
    <t>Subscription</t>
  </si>
  <si>
    <t>Annually</t>
  </si>
  <si>
    <t>for 2 motorbike</t>
  </si>
  <si>
    <t>Maintenance</t>
  </si>
  <si>
    <t>motorbike</t>
  </si>
  <si>
    <t>monthly</t>
  </si>
  <si>
    <t>Sub Total (Vehicles)</t>
  </si>
  <si>
    <t>Total Functioning Budget for 1 Year (Euro)</t>
  </si>
  <si>
    <t>LCDO investments budget for BFFS program (water component)</t>
  </si>
  <si>
    <t>Motorbike</t>
  </si>
  <si>
    <t>2 Motorbikes for 5 years</t>
  </si>
  <si>
    <t>Computer</t>
  </si>
  <si>
    <t>Laptop</t>
  </si>
  <si>
    <t>Camera</t>
  </si>
  <si>
    <t>Sub Total (Investments)</t>
  </si>
  <si>
    <t>Total Investments Budget for 1 year (Euro)</t>
  </si>
  <si>
    <t>Total Budget for 5 years (Euro)</t>
  </si>
  <si>
    <t>Note: Exchange rate 1 Euro= 2,161 TZS</t>
  </si>
  <si>
    <r>
      <t xml:space="preserve">Staff travels </t>
    </r>
    <r>
      <rPr>
        <sz val="10"/>
        <color rgb="FF0070C0"/>
        <rFont val="Calibri"/>
        <family val="2"/>
        <scheme val="minor"/>
      </rPr>
      <t>(and implementation meetings costs)</t>
    </r>
  </si>
  <si>
    <t>Contribution to villages "program comitee" costs</t>
  </si>
  <si>
    <t>missions</t>
  </si>
  <si>
    <t>Organization and training of beneficiaries</t>
  </si>
  <si>
    <t>Monitoring and coaching of the management of the the pastoral water points</t>
  </si>
  <si>
    <t>Operational costs of partners</t>
  </si>
  <si>
    <t>LCDO</t>
  </si>
  <si>
    <t>Oikos EA</t>
  </si>
  <si>
    <t>Missions d'appui technique aux partenaires</t>
  </si>
  <si>
    <t>Internes</t>
  </si>
  <si>
    <t>Externes</t>
  </si>
  <si>
    <t>PM : Frais IDP non pris en charge par le projet</t>
  </si>
  <si>
    <t>TOTAL</t>
  </si>
  <si>
    <t>Cellules de vérification</t>
  </si>
  <si>
    <t>R1</t>
  </si>
  <si>
    <t>R2</t>
  </si>
  <si>
    <t>R3</t>
  </si>
  <si>
    <t>R4</t>
  </si>
  <si>
    <t>1.1</t>
  </si>
  <si>
    <t>1.2</t>
  </si>
  <si>
    <t>1.3</t>
  </si>
  <si>
    <t>Local</t>
  </si>
  <si>
    <t>1.3.1. Local</t>
  </si>
  <si>
    <t>1.3.2. International</t>
  </si>
  <si>
    <t>Missions</t>
  </si>
  <si>
    <t>2.1</t>
  </si>
  <si>
    <t>2.2</t>
  </si>
  <si>
    <t>3.1</t>
  </si>
  <si>
    <t>3.2</t>
  </si>
  <si>
    <t>3.3</t>
  </si>
  <si>
    <t>2.3</t>
  </si>
  <si>
    <t>Budget OEA/IDP</t>
  </si>
  <si>
    <t>Improving access to livestock water points</t>
  </si>
  <si>
    <t>11th August 2014</t>
  </si>
  <si>
    <t>In Euro</t>
  </si>
  <si>
    <t>1st year</t>
  </si>
  <si>
    <t>2nd year</t>
  </si>
  <si>
    <t>3rd year</t>
  </si>
  <si>
    <t>4th year</t>
  </si>
  <si>
    <t>5th year</t>
  </si>
  <si>
    <t>Motnh</t>
  </si>
  <si>
    <t>Coordinator/Senior Social Exper</t>
  </si>
  <si>
    <t>It is a part-time assignment according to the needs of the project</t>
  </si>
  <si>
    <t>Full time assignment</t>
  </si>
  <si>
    <t>Junior social mobilizer</t>
  </si>
  <si>
    <t>Office Logistician</t>
  </si>
  <si>
    <t>Driver/Mechanic</t>
  </si>
  <si>
    <t xml:space="preserve">Ancillary staff(2) </t>
  </si>
  <si>
    <t>International Experts</t>
  </si>
  <si>
    <t>Daily</t>
  </si>
  <si>
    <t>WASH Expert and Ecologist</t>
  </si>
  <si>
    <t>Operational Running Costs</t>
  </si>
  <si>
    <t xml:space="preserve">Office rent </t>
  </si>
  <si>
    <t>33% of the Cost are charge on the Project</t>
  </si>
  <si>
    <t>Telephone and Internet subscription, communication costs</t>
  </si>
  <si>
    <t>Staff travels / overnight</t>
  </si>
  <si>
    <t>Overnights in Simanjiro</t>
  </si>
  <si>
    <t>Various</t>
  </si>
  <si>
    <t>Partial recovery of one car and maintenance</t>
  </si>
  <si>
    <t xml:space="preserve"> </t>
  </si>
  <si>
    <t>Yearly</t>
  </si>
  <si>
    <t>Sub Total (Vehicle)</t>
  </si>
  <si>
    <t>Equipment</t>
  </si>
  <si>
    <t>Grand Totals (Euro)</t>
  </si>
  <si>
    <t>5 years</t>
  </si>
  <si>
    <t>valeurs arrondies</t>
  </si>
  <si>
    <t>valeur arrondies</t>
  </si>
  <si>
    <t>total arrondi</t>
  </si>
  <si>
    <t>Organization and training of beneficiaries (including villages comitee costs)</t>
  </si>
  <si>
    <t>Fonctionnement véhicules</t>
  </si>
  <si>
    <t>Véhicule 1</t>
  </si>
  <si>
    <t>Véhicule 2</t>
  </si>
  <si>
    <t>Fonctionnement général (Partagé avec VSF et CTB)</t>
  </si>
  <si>
    <t>Véhicule tout terrain (voyages longs et zones d'accès difficile)</t>
  </si>
  <si>
    <t>Véhicule (déplacements ville, missions terrain zones d'accès aisé)</t>
  </si>
  <si>
    <t>Station totale de topographie</t>
  </si>
  <si>
    <t>Budget CTB</t>
  </si>
  <si>
    <t>Logement chargé de programme</t>
  </si>
  <si>
    <t>Assurance locative domicile chargé de programme</t>
  </si>
  <si>
    <t>Electricité Domicile chargé de programme</t>
  </si>
  <si>
    <t>Sécurité logement chargé de programme</t>
  </si>
  <si>
    <t>Loyers logements expatriés</t>
  </si>
  <si>
    <t>Assurance locative logements expatriés</t>
  </si>
  <si>
    <t>Eau, Gaz, Electricité logements expatriés</t>
  </si>
  <si>
    <t>Sécurité logements expatriés</t>
  </si>
  <si>
    <t>Loyer logement CP</t>
  </si>
  <si>
    <t>Assurance locative logement CP</t>
  </si>
  <si>
    <t>Entretien locaux et équipements bureau IDP (non partagés)</t>
  </si>
  <si>
    <t>Entretien locaux et équipements logement expatrié</t>
  </si>
  <si>
    <t>Entretien locaux et équipements IDP</t>
  </si>
  <si>
    <t>Fonctionnement groupes électrogène  (Partagé avec VSF et CTB)</t>
  </si>
  <si>
    <t>IDP</t>
  </si>
  <si>
    <t>VSF</t>
  </si>
  <si>
    <t>CTB</t>
  </si>
  <si>
    <t>Entretien locaux et équipements bureau non partagés</t>
  </si>
  <si>
    <t>Logement expatrié</t>
  </si>
  <si>
    <t>Fonctionnement général IDP</t>
  </si>
  <si>
    <t>Formulation</t>
  </si>
  <si>
    <t>Fonctionnement IDP</t>
  </si>
  <si>
    <t>Monitoring</t>
  </si>
  <si>
    <r>
      <t xml:space="preserve">Internet </t>
    </r>
    <r>
      <rPr>
        <sz val="11"/>
        <color theme="5" tint="-0.249977111117893"/>
        <rFont val="Calibri"/>
        <family val="2"/>
        <scheme val="minor"/>
      </rPr>
      <t>***</t>
    </r>
  </si>
  <si>
    <t>Investissements (Partagé avec VSF)</t>
  </si>
  <si>
    <t>Fonctionnement Général IDP - VSF - CTB</t>
  </si>
  <si>
    <t>Budget annuel</t>
  </si>
  <si>
    <t>Investissements IDP</t>
  </si>
  <si>
    <t>I. Investissements IDP</t>
  </si>
  <si>
    <t>Prix hors taxe</t>
  </si>
  <si>
    <t xml:space="preserve">Prix hors taxe </t>
  </si>
  <si>
    <t>Comment.</t>
  </si>
  <si>
    <t>pm à la charge de CTB</t>
  </si>
  <si>
    <t>III. Total investissements IDP</t>
  </si>
  <si>
    <t>Investissements IDP partagés avec VSF</t>
  </si>
  <si>
    <t>Cellules de contrôle</t>
  </si>
  <si>
    <t>x</t>
  </si>
  <si>
    <t>I. Fonctionnement IDP (annuel)</t>
  </si>
  <si>
    <t>III. Total fonctionnement IDP (annuel)</t>
  </si>
  <si>
    <t>Fonctionnement IDP partagé avec VSF et CTB</t>
  </si>
  <si>
    <t>IDP-Vehic</t>
  </si>
  <si>
    <t>IDP - Invest</t>
  </si>
  <si>
    <t>IDP-Office</t>
  </si>
  <si>
    <t>IDP-Expat</t>
  </si>
  <si>
    <t>Frais véhicules et groupe électrogène</t>
  </si>
  <si>
    <t>I. Véhicules Iles de Paix (annuel)</t>
  </si>
  <si>
    <t>II. Groupe électrogène IDP - VSF - CTB (annuel)</t>
  </si>
  <si>
    <t>Données de base</t>
  </si>
  <si>
    <t>Frais de Personnel expatrié (annuel)</t>
  </si>
  <si>
    <t>Total expatrié</t>
  </si>
  <si>
    <t>III. Total véhicules et groupe électrogène IDP (annuel)</t>
  </si>
  <si>
    <t>Véhicules</t>
  </si>
  <si>
    <t>Groupe électrogène</t>
  </si>
  <si>
    <t>IDP-Personal</t>
  </si>
  <si>
    <t>Total Personnel local</t>
  </si>
  <si>
    <t xml:space="preserve">Frais de Personnel Local  </t>
  </si>
  <si>
    <t>Fonction</t>
  </si>
  <si>
    <t>(VSF-CTB)</t>
  </si>
  <si>
    <t>Ingénieur du génie rural</t>
  </si>
  <si>
    <t>Documentation et journaux</t>
  </si>
  <si>
    <t>Furnitures for the meeting room (tables + chair)</t>
  </si>
  <si>
    <t>Furnitures for reception (Desk + Cabin)</t>
  </si>
  <si>
    <t>Office furnitures</t>
  </si>
  <si>
    <t>Office Equipment</t>
  </si>
  <si>
    <t>Gas stove</t>
  </si>
  <si>
    <t>Fridge</t>
  </si>
  <si>
    <t>Telephone Switchboard</t>
  </si>
  <si>
    <t>Generator</t>
  </si>
  <si>
    <t>II. IDP - VSF Investments costs</t>
  </si>
  <si>
    <t>Chargé de programme</t>
  </si>
  <si>
    <t>II. Shared office managements costs IDP - VSF - CTB (yearly)</t>
  </si>
  <si>
    <t>Unity</t>
  </si>
  <si>
    <t>Quantity</t>
  </si>
  <si>
    <t>Unit cost</t>
  </si>
  <si>
    <t>Yearly cost</t>
  </si>
  <si>
    <t>Office rent</t>
  </si>
  <si>
    <t>Office security</t>
  </si>
  <si>
    <t>Security company for the office</t>
  </si>
  <si>
    <t>Housing rental insurance</t>
  </si>
  <si>
    <t>Water, gas, electricity</t>
  </si>
  <si>
    <t>Water</t>
  </si>
  <si>
    <t>Gas</t>
  </si>
  <si>
    <t>Electricity</t>
  </si>
  <si>
    <t>landline phone cost</t>
  </si>
  <si>
    <t>Telephone</t>
  </si>
  <si>
    <t>Office and equipments maintenance</t>
  </si>
  <si>
    <t>Maintenance of burautic equipments</t>
  </si>
  <si>
    <t>Maintenance of the office</t>
  </si>
  <si>
    <t>month</t>
  </si>
  <si>
    <t>year</t>
  </si>
  <si>
    <t>Operating costs</t>
  </si>
  <si>
    <r>
      <t>General budget</t>
    </r>
    <r>
      <rPr>
        <b/>
        <sz val="14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(costs analysis per result)</t>
    </r>
  </si>
  <si>
    <t>General Budget (costs analysis per year)</t>
  </si>
  <si>
    <t>Year 1</t>
  </si>
  <si>
    <t>Year 2</t>
  </si>
  <si>
    <t>Year 3</t>
  </si>
  <si>
    <t>Year 4</t>
  </si>
  <si>
    <t>Year 5</t>
  </si>
  <si>
    <t>Property</t>
  </si>
  <si>
    <t>Furniture</t>
  </si>
  <si>
    <t>Credit funds</t>
  </si>
  <si>
    <t>Capacity building</t>
  </si>
  <si>
    <t>Operating</t>
  </si>
  <si>
    <t>1.3.3. Other expats</t>
  </si>
  <si>
    <t>Management costs</t>
  </si>
  <si>
    <t>Overhead costs</t>
  </si>
  <si>
    <t>Total costs</t>
  </si>
  <si>
    <t>Subsidies request to FBSA</t>
  </si>
  <si>
    <t>Own contribution</t>
  </si>
  <si>
    <t>Management costs budget</t>
  </si>
  <si>
    <t>year 2</t>
  </si>
  <si>
    <t>year 4</t>
  </si>
  <si>
    <t>Headquarters</t>
  </si>
  <si>
    <t>Tz coord.</t>
  </si>
  <si>
    <t>Monitoring and evaluation</t>
  </si>
  <si>
    <t>General operating</t>
  </si>
  <si>
    <t>Cooperative person</t>
  </si>
  <si>
    <t>GENERAL BUDGET - SUMMARY TABLE (5 years)</t>
  </si>
  <si>
    <t>MANAGEMENT COSTS</t>
  </si>
  <si>
    <t>Program officer (60 months, 15%)</t>
  </si>
  <si>
    <t>Finance and administrative officer (60 months)</t>
  </si>
  <si>
    <r>
      <t>Secretary - receptionist (60 months)</t>
    </r>
    <r>
      <rPr>
        <sz val="11"/>
        <color theme="3" tint="-0.249977111117893"/>
        <rFont val="Calibri"/>
        <family val="2"/>
        <scheme val="minor"/>
      </rPr>
      <t xml:space="preserve"> </t>
    </r>
    <r>
      <rPr>
        <sz val="11"/>
        <color theme="5" tint="-0.249977111117893"/>
        <rFont val="Calibri"/>
        <family val="2"/>
        <scheme val="minor"/>
      </rPr>
      <t>***</t>
    </r>
  </si>
  <si>
    <r>
      <t>Offices rent in Arusha</t>
    </r>
    <r>
      <rPr>
        <sz val="11"/>
        <color theme="5" tint="-0.249977111117893"/>
        <rFont val="Calibri"/>
        <family val="2"/>
        <scheme val="minor"/>
      </rPr>
      <t xml:space="preserve"> ***</t>
    </r>
  </si>
  <si>
    <r>
      <t xml:space="preserve">Security firm </t>
    </r>
    <r>
      <rPr>
        <sz val="11"/>
        <color theme="5" tint="-0.249977111117893"/>
        <rFont val="Calibri"/>
        <family val="2"/>
        <scheme val="minor"/>
      </rPr>
      <t>***</t>
    </r>
  </si>
  <si>
    <r>
      <t>Rental insurance of the offices</t>
    </r>
    <r>
      <rPr>
        <sz val="11"/>
        <color theme="5" tint="-0.249977111117893"/>
        <rFont val="Calibri"/>
        <family val="2"/>
        <scheme val="minor"/>
      </rPr>
      <t xml:space="preserve"> ***</t>
    </r>
  </si>
  <si>
    <r>
      <rPr>
        <sz val="11"/>
        <color theme="1"/>
        <rFont val="Calibri"/>
        <family val="2"/>
        <scheme val="minor"/>
      </rPr>
      <t>Water</t>
    </r>
    <r>
      <rPr>
        <sz val="11"/>
        <color theme="5" tint="-0.249977111117893"/>
        <rFont val="Calibri"/>
        <family val="2"/>
        <scheme val="minor"/>
      </rPr>
      <t xml:space="preserve"> ***</t>
    </r>
  </si>
  <si>
    <r>
      <t xml:space="preserve">Gas </t>
    </r>
    <r>
      <rPr>
        <sz val="11"/>
        <color theme="5" tint="-0.249977111117893"/>
        <rFont val="Calibri"/>
        <family val="2"/>
        <scheme val="minor"/>
      </rPr>
      <t>***</t>
    </r>
  </si>
  <si>
    <r>
      <t xml:space="preserve">Electricity </t>
    </r>
    <r>
      <rPr>
        <sz val="11"/>
        <color theme="5" tint="-0.249977111117893"/>
        <rFont val="Calibri"/>
        <family val="2"/>
        <scheme val="minor"/>
      </rPr>
      <t>***</t>
    </r>
  </si>
  <si>
    <r>
      <t>Telephone</t>
    </r>
    <r>
      <rPr>
        <sz val="11"/>
        <color theme="5" tint="-0.249977111117893"/>
        <rFont val="Calibri"/>
        <family val="2"/>
        <scheme val="minor"/>
      </rPr>
      <t xml:space="preserve"> ***</t>
    </r>
  </si>
  <si>
    <r>
      <t xml:space="preserve">Functionning of the generator </t>
    </r>
    <r>
      <rPr>
        <sz val="11"/>
        <color theme="5" tint="-0.249977111117893"/>
        <rFont val="Calibri"/>
        <family val="2"/>
        <scheme val="minor"/>
      </rPr>
      <t>***</t>
    </r>
  </si>
  <si>
    <r>
      <rPr>
        <sz val="11"/>
        <color theme="1"/>
        <rFont val="Calibri"/>
        <family val="2"/>
        <scheme val="minor"/>
      </rPr>
      <t>Buildings and office equipment maintenance</t>
    </r>
    <r>
      <rPr>
        <sz val="11"/>
        <color theme="5" tint="-0.249977111117893"/>
        <rFont val="Calibri"/>
        <family val="2"/>
        <scheme val="minor"/>
      </rPr>
      <t xml:space="preserve"> ***</t>
    </r>
  </si>
  <si>
    <t>Rooms and IDP equipment maintenance</t>
  </si>
  <si>
    <t>Post</t>
  </si>
  <si>
    <t>Office consumables</t>
  </si>
  <si>
    <t>Documentation and newspapers</t>
  </si>
  <si>
    <t>Bank costs and other administrative costs</t>
  </si>
  <si>
    <t>Representation costs</t>
  </si>
  <si>
    <t>Furniture and office equipment</t>
  </si>
  <si>
    <t>Office furniture for the IDP staff</t>
  </si>
  <si>
    <r>
      <t xml:space="preserve">Furniture for common rooms </t>
    </r>
    <r>
      <rPr>
        <sz val="11"/>
        <color theme="5" tint="-0.249977111117893"/>
        <rFont val="Calibri"/>
        <family val="2"/>
        <scheme val="minor"/>
      </rPr>
      <t>"*"</t>
    </r>
  </si>
  <si>
    <r>
      <t xml:space="preserve">Office equipment </t>
    </r>
    <r>
      <rPr>
        <sz val="11"/>
        <color theme="5" tint="-0.249977111117893"/>
        <rFont val="Calibri"/>
        <family val="2"/>
        <scheme val="minor"/>
      </rPr>
      <t>"*"</t>
    </r>
  </si>
  <si>
    <t>Establisment of the base line</t>
  </si>
  <si>
    <t>Annual evaluation workshops and internal knowledge capitalization of the project</t>
  </si>
  <si>
    <t>Mid-term evaluation</t>
  </si>
  <si>
    <t>Annual follow-up inquiry</t>
  </si>
  <si>
    <t>*** Costs shared with VSF and BTC (33% of the total cost covered by each party)</t>
  </si>
  <si>
    <t>"*" Costs shared with VSF (BTC being responsible for the building refurbishment)</t>
  </si>
  <si>
    <t>OPERATIONNAL COSTS</t>
  </si>
  <si>
    <t>Operationnal costs IDP</t>
  </si>
  <si>
    <t>Program officer (60 months - 85%)</t>
  </si>
  <si>
    <t>Rural engineer (60 months - 100%)</t>
  </si>
  <si>
    <t>Driver (60 months - 100%)</t>
  </si>
  <si>
    <t>Purchase of vehicles (2)</t>
  </si>
  <si>
    <t>Office, rural and various equipments</t>
  </si>
  <si>
    <t>Formulation costs of the project</t>
  </si>
  <si>
    <t>Technical support missions for the partners</t>
  </si>
  <si>
    <t>Costs related to the coordination meetings of the program</t>
  </si>
  <si>
    <t>Operationnal costs partners</t>
  </si>
  <si>
    <t>STRUCTURE COSTS</t>
  </si>
  <si>
    <t xml:space="preserve">&gt;&gt;&gt; Project budget excluding SC: </t>
  </si>
  <si>
    <t xml:space="preserve">&gt;&gt;&gt; Total budget: </t>
  </si>
  <si>
    <t xml:space="preserve">&gt;&gt;&gt; Input BFFS (85% total budget): </t>
  </si>
  <si>
    <t xml:space="preserve">&gt;&gt;&gt; Input IDP (15% total budget) : </t>
  </si>
  <si>
    <t>Summary table and calculation of the IDP and BFFS inputs</t>
  </si>
  <si>
    <r>
      <t xml:space="preserve">Investments </t>
    </r>
    <r>
      <rPr>
        <sz val="11"/>
        <color rgb="FF0070C0"/>
        <rFont val="Calibri"/>
        <family val="2"/>
        <scheme val="minor"/>
      </rPr>
      <t xml:space="preserve">(details in LCDO and Oikos tabs, includes 2 motorbikes for LCDO) </t>
    </r>
  </si>
  <si>
    <r>
      <t xml:space="preserve">Vehicles functionning </t>
    </r>
    <r>
      <rPr>
        <sz val="11"/>
        <color rgb="FF0070C0"/>
        <rFont val="Calibri"/>
        <family val="2"/>
        <scheme val="minor"/>
      </rPr>
      <t>(includes fuel, maintenance, insurances)</t>
    </r>
  </si>
  <si>
    <r>
      <t xml:space="preserve">Vehicules : </t>
    </r>
    <r>
      <rPr>
        <sz val="11"/>
        <color rgb="FF0070C0"/>
        <rFont val="Calibri"/>
        <family val="2"/>
        <scheme val="minor"/>
      </rPr>
      <t>functionning costs (includes fue, maintenance, insurances)</t>
    </r>
  </si>
  <si>
    <t>Geological survey equipment</t>
  </si>
  <si>
    <t>Car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</si>
</sst>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.00_ ;_ * \-#,##0.00_ ;_ * &quot;-&quot;??_ ;_ @_ "/>
    <numFmt numFmtId="165" formatCode="#,##0.000"/>
    <numFmt numFmtId="166" formatCode="0.0%"/>
    <numFmt numFmtId="167" formatCode="_ * #,##0_ ;_ * \-#,##0_ ;_ * &quot;-&quot;??_ ;_ @_ "/>
    <numFmt numFmtId="168" formatCode="_(* #,##0.00_);_(* \(#,##0.00\);_(* &quot;-&quot;??_);_(@_)"/>
    <numFmt numFmtId="169" formatCode="_(* #,##0.000_);_(* \(#,##0.000\);_(* &quot;-&quot;??_);_(@_)"/>
    <numFmt numFmtId="170" formatCode="0.0"/>
    <numFmt numFmtId="171" formatCode="_-* #,##0.00_-;\-* #,##0.00_-;_-* &quot;-&quot;??_-;_-@_-"/>
    <numFmt numFmtId="172" formatCode="_-* #,##0_-;\-* #,##0_-;_-* &quot;-&quot;??_-;_-@_-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u/>
      <sz val="18"/>
      <name val="Calibri"/>
      <family val="2"/>
    </font>
    <font>
      <b/>
      <u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0"/>
      <color indexed="23"/>
      <name val="Calibri"/>
      <family val="2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4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30"/>
      <name val="Calibri"/>
      <family val="2"/>
    </font>
    <font>
      <sz val="10"/>
      <color indexed="62"/>
      <name val="Calibri"/>
      <family val="2"/>
    </font>
    <font>
      <i/>
      <sz val="10"/>
      <color indexed="62"/>
      <name val="Calibri"/>
      <family val="2"/>
    </font>
    <font>
      <b/>
      <i/>
      <sz val="10"/>
      <color indexed="30"/>
      <name val="Calibri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8"/>
      <name val="Calibri"/>
      <family val="2"/>
    </font>
    <font>
      <sz val="11"/>
      <color theme="3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</font>
    <font>
      <b/>
      <sz val="14"/>
      <name val="Calibri"/>
      <family val="2"/>
    </font>
    <font>
      <b/>
      <sz val="12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color rgb="FF0070C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1" fillId="0" borderId="0" applyFont="0" applyFill="0" applyBorder="0" applyAlignment="0" applyProtection="0"/>
    <xf numFmtId="171" fontId="51" fillId="0" borderId="0" applyFont="0" applyFill="0" applyBorder="0" applyAlignment="0" applyProtection="0"/>
  </cellStyleXfs>
  <cellXfs count="805">
    <xf numFmtId="0" fontId="0" fillId="0" borderId="0" xfId="0"/>
    <xf numFmtId="0" fontId="5" fillId="0" borderId="0" xfId="0" applyFont="1" applyFill="1" applyBorder="1" applyAlignment="1">
      <alignment vertical="top" wrapText="1"/>
    </xf>
    <xf numFmtId="0" fontId="0" fillId="0" borderId="2" xfId="0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14" xfId="2" applyNumberFormat="1" applyFont="1" applyBorder="1"/>
    <xf numFmtId="3" fontId="5" fillId="0" borderId="15" xfId="2" applyNumberFormat="1" applyFont="1" applyBorder="1"/>
    <xf numFmtId="0" fontId="5" fillId="0" borderId="14" xfId="2" applyFont="1" applyFill="1" applyBorder="1" applyAlignment="1">
      <alignment horizontal="left"/>
    </xf>
    <xf numFmtId="3" fontId="5" fillId="0" borderId="15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left"/>
    </xf>
    <xf numFmtId="0" fontId="5" fillId="0" borderId="16" xfId="2" applyFont="1" applyFill="1" applyBorder="1" applyAlignment="1">
      <alignment horizontal="left"/>
    </xf>
    <xf numFmtId="3" fontId="5" fillId="0" borderId="17" xfId="2" applyNumberFormat="1" applyFont="1" applyBorder="1"/>
    <xf numFmtId="3" fontId="5" fillId="0" borderId="18" xfId="2" applyNumberFormat="1" applyFont="1" applyBorder="1"/>
    <xf numFmtId="0" fontId="5" fillId="0" borderId="0" xfId="2" applyFont="1" applyFill="1" applyBorder="1" applyAlignment="1">
      <alignment horizontal="left"/>
    </xf>
    <xf numFmtId="3" fontId="4" fillId="2" borderId="19" xfId="2" applyNumberFormat="1" applyFont="1" applyFill="1" applyBorder="1" applyAlignment="1">
      <alignment horizontal="center" vertical="center"/>
    </xf>
    <xf numFmtId="3" fontId="4" fillId="2" borderId="19" xfId="2" applyNumberFormat="1" applyFont="1" applyFill="1" applyBorder="1" applyAlignment="1">
      <alignment horizontal="center" vertical="center" wrapText="1"/>
    </xf>
    <xf numFmtId="3" fontId="4" fillId="4" borderId="19" xfId="2" applyNumberFormat="1" applyFont="1" applyFill="1" applyBorder="1" applyAlignment="1" applyProtection="1">
      <alignment horizontal="center" vertical="center" wrapText="1"/>
    </xf>
    <xf numFmtId="3" fontId="5" fillId="0" borderId="14" xfId="2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>
      <alignment horizontal="right"/>
    </xf>
    <xf numFmtId="3" fontId="5" fillId="0" borderId="20" xfId="2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center"/>
    </xf>
    <xf numFmtId="3" fontId="4" fillId="0" borderId="20" xfId="2" applyNumberFormat="1" applyFont="1" applyBorder="1"/>
    <xf numFmtId="3" fontId="5" fillId="0" borderId="20" xfId="2" applyNumberFormat="1" applyFont="1" applyFill="1" applyBorder="1"/>
    <xf numFmtId="3" fontId="4" fillId="0" borderId="0" xfId="2" applyNumberFormat="1" applyFont="1" applyFill="1" applyBorder="1" applyAlignment="1">
      <alignment horizontal="center"/>
    </xf>
    <xf numFmtId="3" fontId="5" fillId="0" borderId="20" xfId="2" quotePrefix="1" applyNumberFormat="1" applyFont="1" applyFill="1" applyBorder="1" applyAlignment="1">
      <alignment horizontal="left"/>
    </xf>
    <xf numFmtId="3" fontId="5" fillId="0" borderId="20" xfId="2" applyNumberFormat="1" applyFont="1" applyBorder="1" applyAlignment="1">
      <alignment horizontal="left"/>
    </xf>
    <xf numFmtId="3" fontId="5" fillId="0" borderId="20" xfId="2" applyNumberFormat="1" applyFont="1" applyBorder="1"/>
    <xf numFmtId="3" fontId="5" fillId="0" borderId="20" xfId="2" applyNumberFormat="1" applyFont="1" applyFill="1" applyBorder="1" applyAlignment="1">
      <alignment vertical="center" wrapText="1"/>
    </xf>
    <xf numFmtId="3" fontId="5" fillId="0" borderId="0" xfId="2" applyNumberFormat="1" applyFont="1" applyFill="1" applyBorder="1"/>
    <xf numFmtId="3" fontId="5" fillId="0" borderId="21" xfId="2" applyNumberFormat="1" applyFont="1" applyFill="1" applyBorder="1"/>
    <xf numFmtId="3" fontId="5" fillId="0" borderId="21" xfId="2" applyNumberFormat="1" applyFont="1" applyFill="1" applyBorder="1" applyAlignment="1">
      <alignment horizontal="right"/>
    </xf>
    <xf numFmtId="3" fontId="10" fillId="0" borderId="0" xfId="2" applyNumberFormat="1" applyFont="1" applyFill="1" applyBorder="1"/>
    <xf numFmtId="0" fontId="11" fillId="0" borderId="2" xfId="0" applyFont="1" applyBorder="1"/>
    <xf numFmtId="0" fontId="11" fillId="0" borderId="3" xfId="0" applyFont="1" applyBorder="1"/>
    <xf numFmtId="3" fontId="14" fillId="0" borderId="0" xfId="2" applyNumberFormat="1" applyFont="1" applyBorder="1" applyAlignment="1">
      <alignment horizontal="left"/>
    </xf>
    <xf numFmtId="3" fontId="14" fillId="0" borderId="0" xfId="2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 wrapText="1"/>
    </xf>
    <xf numFmtId="3" fontId="4" fillId="2" borderId="10" xfId="2" applyNumberFormat="1" applyFont="1" applyFill="1" applyBorder="1" applyAlignment="1">
      <alignment horizontal="center" vertical="center" wrapText="1"/>
    </xf>
    <xf numFmtId="3" fontId="5" fillId="3" borderId="22" xfId="2" applyNumberFormat="1" applyFont="1" applyFill="1" applyBorder="1" applyAlignment="1">
      <alignment horizontal="right"/>
    </xf>
    <xf numFmtId="3" fontId="5" fillId="3" borderId="23" xfId="2" applyNumberFormat="1" applyFont="1" applyFill="1" applyBorder="1" applyAlignment="1">
      <alignment horizontal="right" vertical="center"/>
    </xf>
    <xf numFmtId="3" fontId="5" fillId="3" borderId="24" xfId="2" applyNumberFormat="1" applyFont="1" applyFill="1" applyBorder="1" applyAlignment="1">
      <alignment horizontal="right" vertical="center"/>
    </xf>
    <xf numFmtId="3" fontId="5" fillId="3" borderId="19" xfId="2" applyNumberFormat="1" applyFont="1" applyFill="1" applyBorder="1" applyAlignment="1">
      <alignment horizontal="right" vertical="center"/>
    </xf>
    <xf numFmtId="3" fontId="5" fillId="0" borderId="25" xfId="2" applyNumberFormat="1" applyFont="1" applyFill="1" applyBorder="1" applyAlignment="1">
      <alignment vertical="center" wrapText="1"/>
    </xf>
    <xf numFmtId="3" fontId="5" fillId="0" borderId="26" xfId="2" applyNumberFormat="1" applyFont="1" applyFill="1" applyBorder="1" applyAlignment="1">
      <alignment vertical="center" wrapText="1"/>
    </xf>
    <xf numFmtId="3" fontId="5" fillId="0" borderId="27" xfId="2" applyNumberFormat="1" applyFont="1" applyFill="1" applyBorder="1" applyAlignment="1">
      <alignment vertical="center" wrapText="1"/>
    </xf>
    <xf numFmtId="3" fontId="5" fillId="0" borderId="25" xfId="2" applyNumberFormat="1" applyFont="1" applyFill="1" applyBorder="1" applyAlignment="1">
      <alignment horizontal="right"/>
    </xf>
    <xf numFmtId="3" fontId="5" fillId="0" borderId="26" xfId="2" applyNumberFormat="1" applyFont="1" applyFill="1" applyBorder="1" applyAlignment="1">
      <alignment horizontal="right" vertical="center"/>
    </xf>
    <xf numFmtId="3" fontId="5" fillId="0" borderId="27" xfId="2" applyNumberFormat="1" applyFont="1" applyFill="1" applyBorder="1" applyAlignment="1">
      <alignment horizontal="right" vertical="center"/>
    </xf>
    <xf numFmtId="3" fontId="5" fillId="0" borderId="20" xfId="2" applyNumberFormat="1" applyFont="1" applyFill="1" applyBorder="1" applyAlignment="1">
      <alignment horizontal="right" vertical="center"/>
    </xf>
    <xf numFmtId="3" fontId="5" fillId="0" borderId="25" xfId="2" applyNumberFormat="1" applyFont="1" applyBorder="1" applyAlignment="1">
      <alignment horizontal="left"/>
    </xf>
    <xf numFmtId="3" fontId="5" fillId="0" borderId="26" xfId="2" applyNumberFormat="1" applyFont="1" applyBorder="1" applyAlignment="1">
      <alignment horizontal="right" vertical="center"/>
    </xf>
    <xf numFmtId="3" fontId="5" fillId="0" borderId="27" xfId="2" applyNumberFormat="1" applyFont="1" applyBorder="1" applyAlignment="1">
      <alignment horizontal="right" vertical="center"/>
    </xf>
    <xf numFmtId="3" fontId="5" fillId="0" borderId="20" xfId="2" applyNumberFormat="1" applyFont="1" applyBorder="1" applyAlignment="1">
      <alignment horizontal="right" vertical="center"/>
    </xf>
    <xf numFmtId="3" fontId="5" fillId="0" borderId="25" xfId="2" applyNumberFormat="1" applyFont="1" applyBorder="1" applyAlignment="1">
      <alignment horizontal="right"/>
    </xf>
    <xf numFmtId="3" fontId="5" fillId="0" borderId="25" xfId="2" applyNumberFormat="1" applyFont="1" applyBorder="1" applyAlignment="1">
      <alignment horizontal="right" vertical="center"/>
    </xf>
    <xf numFmtId="3" fontId="5" fillId="0" borderId="25" xfId="2" applyNumberFormat="1" applyFont="1" applyFill="1" applyBorder="1" applyAlignment="1"/>
    <xf numFmtId="3" fontId="10" fillId="0" borderId="0" xfId="2" applyNumberFormat="1" applyFont="1" applyBorder="1" applyAlignment="1">
      <alignment horizontal="right"/>
    </xf>
    <xf numFmtId="3" fontId="5" fillId="0" borderId="0" xfId="2" applyNumberFormat="1" applyFont="1" applyBorder="1" applyAlignment="1">
      <alignment wrapText="1"/>
    </xf>
    <xf numFmtId="3" fontId="5" fillId="0" borderId="27" xfId="2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0" borderId="3" xfId="0" applyNumberFormat="1" applyFont="1" applyBorder="1"/>
    <xf numFmtId="3" fontId="4" fillId="2" borderId="22" xfId="2" applyNumberFormat="1" applyFont="1" applyFill="1" applyBorder="1" applyAlignment="1">
      <alignment horizontal="center" vertical="center" wrapText="1"/>
    </xf>
    <xf numFmtId="3" fontId="4" fillId="2" borderId="23" xfId="2" applyNumberFormat="1" applyFont="1" applyFill="1" applyBorder="1" applyAlignment="1">
      <alignment horizontal="center" vertical="center" wrapText="1"/>
    </xf>
    <xf numFmtId="3" fontId="4" fillId="2" borderId="24" xfId="2" applyNumberFormat="1" applyFont="1" applyFill="1" applyBorder="1" applyAlignment="1">
      <alignment horizontal="center" vertical="center" wrapText="1"/>
    </xf>
    <xf numFmtId="3" fontId="4" fillId="3" borderId="22" xfId="2" applyNumberFormat="1" applyFont="1" applyFill="1" applyBorder="1" applyAlignment="1">
      <alignment horizontal="right"/>
    </xf>
    <xf numFmtId="3" fontId="4" fillId="3" borderId="23" xfId="2" applyNumberFormat="1" applyFont="1" applyFill="1" applyBorder="1" applyAlignment="1">
      <alignment horizontal="right"/>
    </xf>
    <xf numFmtId="3" fontId="4" fillId="3" borderId="24" xfId="2" applyNumberFormat="1" applyFont="1" applyFill="1" applyBorder="1" applyAlignment="1">
      <alignment horizontal="right"/>
    </xf>
    <xf numFmtId="3" fontId="4" fillId="3" borderId="19" xfId="2" applyNumberFormat="1" applyFont="1" applyFill="1" applyBorder="1" applyAlignment="1">
      <alignment horizontal="right"/>
    </xf>
    <xf numFmtId="3" fontId="5" fillId="0" borderId="26" xfId="2" applyNumberFormat="1" applyFont="1" applyFill="1" applyBorder="1" applyAlignment="1">
      <alignment horizontal="right"/>
    </xf>
    <xf numFmtId="3" fontId="5" fillId="0" borderId="27" xfId="2" applyNumberFormat="1" applyFont="1" applyFill="1" applyBorder="1" applyAlignment="1">
      <alignment horizontal="right"/>
    </xf>
    <xf numFmtId="3" fontId="5" fillId="0" borderId="25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5" fillId="0" borderId="27" xfId="2" applyNumberFormat="1" applyFont="1" applyFill="1" applyBorder="1" applyAlignment="1">
      <alignment horizontal="right" vertical="center" wrapText="1"/>
    </xf>
    <xf numFmtId="3" fontId="5" fillId="0" borderId="20" xfId="2" applyNumberFormat="1" applyFont="1" applyFill="1" applyBorder="1" applyAlignment="1">
      <alignment horizontal="right" vertical="center" wrapText="1"/>
    </xf>
    <xf numFmtId="3" fontId="5" fillId="0" borderId="0" xfId="2" applyNumberFormat="1" applyFont="1" applyBorder="1" applyAlignment="1">
      <alignment horizontal="right" vertical="center"/>
    </xf>
    <xf numFmtId="3" fontId="5" fillId="0" borderId="25" xfId="2" applyNumberFormat="1" applyFont="1" applyBorder="1" applyAlignment="1">
      <alignment horizontal="right" vertical="center" wrapText="1"/>
    </xf>
    <xf numFmtId="3" fontId="5" fillId="0" borderId="26" xfId="2" applyNumberFormat="1" applyFont="1" applyBorder="1" applyAlignment="1">
      <alignment horizontal="right" vertical="center" wrapText="1"/>
    </xf>
    <xf numFmtId="3" fontId="5" fillId="0" borderId="27" xfId="2" applyNumberFormat="1" applyFont="1" applyBorder="1" applyAlignment="1">
      <alignment horizontal="right" vertical="center" wrapText="1"/>
    </xf>
    <xf numFmtId="3" fontId="5" fillId="0" borderId="20" xfId="2" applyNumberFormat="1" applyFont="1" applyBorder="1" applyAlignment="1">
      <alignment horizontal="right" vertical="center" wrapText="1"/>
    </xf>
    <xf numFmtId="3" fontId="5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right" vertical="center"/>
    </xf>
    <xf numFmtId="4" fontId="5" fillId="0" borderId="0" xfId="2" applyNumberFormat="1" applyFont="1" applyBorder="1" applyAlignment="1">
      <alignment horizontal="right"/>
    </xf>
    <xf numFmtId="4" fontId="5" fillId="0" borderId="0" xfId="2" applyNumberFormat="1" applyFont="1" applyBorder="1" applyAlignment="1">
      <alignment horizontal="right" vertical="center"/>
    </xf>
    <xf numFmtId="4" fontId="5" fillId="0" borderId="0" xfId="2" applyNumberFormat="1" applyFont="1" applyFill="1" applyBorder="1" applyAlignment="1">
      <alignment horizontal="right" vertical="center"/>
    </xf>
    <xf numFmtId="3" fontId="5" fillId="0" borderId="17" xfId="2" applyNumberFormat="1" applyFont="1" applyBorder="1" applyAlignment="1">
      <alignment horizontal="right" vertical="center"/>
    </xf>
    <xf numFmtId="3" fontId="5" fillId="0" borderId="21" xfId="2" applyNumberFormat="1" applyFont="1" applyBorder="1" applyAlignment="1">
      <alignment horizontal="right" vertical="center"/>
    </xf>
    <xf numFmtId="4" fontId="4" fillId="2" borderId="19" xfId="2" applyNumberFormat="1" applyFont="1" applyFill="1" applyBorder="1" applyAlignment="1">
      <alignment horizontal="center" vertical="center" wrapText="1"/>
    </xf>
    <xf numFmtId="3" fontId="5" fillId="0" borderId="0" xfId="3" applyNumberFormat="1" applyFont="1" applyFill="1" applyBorder="1"/>
    <xf numFmtId="0" fontId="5" fillId="0" borderId="0" xfId="3" applyFont="1" applyFill="1" applyBorder="1"/>
    <xf numFmtId="0" fontId="18" fillId="0" borderId="0" xfId="3" applyFont="1" applyFill="1" applyBorder="1"/>
    <xf numFmtId="3" fontId="4" fillId="6" borderId="22" xfId="3" applyNumberFormat="1" applyFont="1" applyFill="1" applyBorder="1" applyAlignment="1">
      <alignment horizontal="center" vertical="center" wrapText="1"/>
    </xf>
    <xf numFmtId="3" fontId="4" fillId="6" borderId="23" xfId="3" applyNumberFormat="1" applyFont="1" applyFill="1" applyBorder="1" applyAlignment="1">
      <alignment horizontal="center" vertical="center" wrapText="1"/>
    </xf>
    <xf numFmtId="49" fontId="4" fillId="0" borderId="0" xfId="3" applyNumberFormat="1" applyFont="1" applyFill="1" applyBorder="1" applyAlignment="1">
      <alignment horizontal="center"/>
    </xf>
    <xf numFmtId="3" fontId="5" fillId="0" borderId="25" xfId="3" applyNumberFormat="1" applyFont="1" applyFill="1" applyBorder="1" applyAlignment="1">
      <alignment vertical="center"/>
    </xf>
    <xf numFmtId="3" fontId="5" fillId="0" borderId="26" xfId="3" applyNumberFormat="1" applyFont="1" applyFill="1" applyBorder="1" applyAlignment="1">
      <alignment vertical="center"/>
    </xf>
    <xf numFmtId="3" fontId="5" fillId="0" borderId="31" xfId="3" applyNumberFormat="1" applyFont="1" applyFill="1" applyBorder="1" applyAlignment="1">
      <alignment vertical="center"/>
    </xf>
    <xf numFmtId="49" fontId="5" fillId="0" borderId="0" xfId="3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vertical="center" wrapText="1"/>
    </xf>
    <xf numFmtId="3" fontId="5" fillId="0" borderId="28" xfId="3" applyNumberFormat="1" applyFont="1" applyFill="1" applyBorder="1" applyAlignment="1">
      <alignment vertical="center"/>
    </xf>
    <xf numFmtId="3" fontId="5" fillId="0" borderId="29" xfId="3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vertical="center"/>
    </xf>
    <xf numFmtId="3" fontId="5" fillId="0" borderId="26" xfId="3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center"/>
    </xf>
    <xf numFmtId="3" fontId="4" fillId="3" borderId="19" xfId="2" applyNumberFormat="1" applyFont="1" applyFill="1" applyBorder="1" applyAlignment="1">
      <alignment horizontal="right" vertical="center"/>
    </xf>
    <xf numFmtId="0" fontId="2" fillId="0" borderId="0" xfId="0" applyFont="1"/>
    <xf numFmtId="3" fontId="5" fillId="0" borderId="25" xfId="2" applyNumberFormat="1" applyFont="1" applyFill="1" applyBorder="1" applyAlignment="1">
      <alignment horizontal="left" vertical="center"/>
    </xf>
    <xf numFmtId="3" fontId="4" fillId="3" borderId="22" xfId="2" applyNumberFormat="1" applyFont="1" applyFill="1" applyBorder="1" applyAlignment="1">
      <alignment horizontal="left"/>
    </xf>
    <xf numFmtId="3" fontId="5" fillId="0" borderId="25" xfId="2" applyNumberFormat="1" applyFont="1" applyFill="1" applyBorder="1" applyAlignment="1">
      <alignment horizontal="left"/>
    </xf>
    <xf numFmtId="3" fontId="5" fillId="0" borderId="25" xfId="2" applyNumberFormat="1" applyFont="1" applyFill="1" applyBorder="1" applyAlignment="1">
      <alignment horizontal="left" vertical="center" wrapText="1"/>
    </xf>
    <xf numFmtId="3" fontId="5" fillId="0" borderId="26" xfId="2" applyNumberFormat="1" applyFont="1" applyFill="1" applyBorder="1" applyAlignment="1">
      <alignment horizontal="center" vertical="center"/>
    </xf>
    <xf numFmtId="3" fontId="4" fillId="3" borderId="23" xfId="2" applyNumberFormat="1" applyFont="1" applyFill="1" applyBorder="1" applyAlignment="1">
      <alignment horizontal="center"/>
    </xf>
    <xf numFmtId="3" fontId="4" fillId="3" borderId="24" xfId="2" applyNumberFormat="1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center"/>
    </xf>
    <xf numFmtId="3" fontId="5" fillId="0" borderId="27" xfId="2" applyNumberFormat="1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center" vertical="center" wrapText="1"/>
    </xf>
    <xf numFmtId="3" fontId="5" fillId="0" borderId="27" xfId="2" applyNumberFormat="1" applyFont="1" applyFill="1" applyBorder="1" applyAlignment="1">
      <alignment horizontal="center" vertical="center" wrapText="1"/>
    </xf>
    <xf numFmtId="3" fontId="4" fillId="3" borderId="9" xfId="2" applyNumberFormat="1" applyFont="1" applyFill="1" applyBorder="1" applyAlignment="1">
      <alignment horizontal="right" vertical="center"/>
    </xf>
    <xf numFmtId="4" fontId="4" fillId="3" borderId="9" xfId="2" applyNumberFormat="1" applyFont="1" applyFill="1" applyBorder="1" applyAlignment="1">
      <alignment horizontal="right" vertical="center"/>
    </xf>
    <xf numFmtId="3" fontId="4" fillId="3" borderId="8" xfId="2" applyNumberFormat="1" applyFont="1" applyFill="1" applyBorder="1" applyAlignment="1">
      <alignment horizontal="right"/>
    </xf>
    <xf numFmtId="4" fontId="4" fillId="3" borderId="10" xfId="2" applyNumberFormat="1" applyFont="1" applyFill="1" applyBorder="1" applyAlignment="1">
      <alignment horizontal="right" vertical="center"/>
    </xf>
    <xf numFmtId="4" fontId="5" fillId="0" borderId="17" xfId="2" applyNumberFormat="1" applyFont="1" applyBorder="1" applyAlignment="1">
      <alignment horizontal="right" vertical="center"/>
    </xf>
    <xf numFmtId="3" fontId="5" fillId="0" borderId="30" xfId="2" applyNumberFormat="1" applyFont="1" applyBorder="1" applyAlignment="1">
      <alignment horizontal="right" vertical="center"/>
    </xf>
    <xf numFmtId="0" fontId="5" fillId="0" borderId="32" xfId="0" quotePrefix="1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0" fontId="5" fillId="0" borderId="32" xfId="0" quotePrefix="1" applyFont="1" applyBorder="1" applyAlignment="1">
      <alignment horizontal="left" vertical="top" wrapText="1"/>
    </xf>
    <xf numFmtId="0" fontId="5" fillId="0" borderId="32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3" fontId="5" fillId="0" borderId="32" xfId="0" applyNumberFormat="1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2" fillId="8" borderId="0" xfId="0" applyFont="1" applyFill="1" applyBorder="1" applyAlignment="1">
      <alignment vertical="top" wrapText="1"/>
    </xf>
    <xf numFmtId="0" fontId="2" fillId="9" borderId="0" xfId="0" applyFont="1" applyFill="1" applyBorder="1"/>
    <xf numFmtId="167" fontId="0" fillId="0" borderId="0" xfId="5" applyNumberFormat="1" applyFont="1" applyBorder="1"/>
    <xf numFmtId="167" fontId="0" fillId="8" borderId="0" xfId="5" applyNumberFormat="1" applyFont="1" applyFill="1" applyBorder="1"/>
    <xf numFmtId="167" fontId="1" fillId="0" borderId="0" xfId="5" applyNumberFormat="1" applyFont="1" applyFill="1" applyBorder="1"/>
    <xf numFmtId="167" fontId="2" fillId="9" borderId="0" xfId="5" applyNumberFormat="1" applyFont="1" applyFill="1" applyBorder="1"/>
    <xf numFmtId="0" fontId="22" fillId="0" borderId="0" xfId="0" applyFont="1" applyBorder="1"/>
    <xf numFmtId="167" fontId="2" fillId="0" borderId="0" xfId="5" applyNumberFormat="1" applyFont="1" applyFill="1" applyBorder="1"/>
    <xf numFmtId="167" fontId="26" fillId="0" borderId="0" xfId="5" applyNumberFormat="1" applyFont="1" applyBorder="1"/>
    <xf numFmtId="167" fontId="0" fillId="9" borderId="0" xfId="5" applyNumberFormat="1" applyFont="1" applyFill="1" applyBorder="1"/>
    <xf numFmtId="167" fontId="2" fillId="9" borderId="0" xfId="5" applyNumberFormat="1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3" xfId="0" applyFont="1" applyFill="1" applyBorder="1"/>
    <xf numFmtId="3" fontId="11" fillId="0" borderId="3" xfId="0" applyNumberFormat="1" applyFont="1" applyFill="1" applyBorder="1"/>
    <xf numFmtId="167" fontId="2" fillId="8" borderId="0" xfId="5" applyNumberFormat="1" applyFont="1" applyFill="1" applyBorder="1"/>
    <xf numFmtId="167" fontId="20" fillId="13" borderId="0" xfId="5" applyNumberFormat="1" applyFont="1" applyFill="1" applyBorder="1"/>
    <xf numFmtId="0" fontId="27" fillId="11" borderId="0" xfId="0" quotePrefix="1" applyFont="1" applyFill="1" applyBorder="1" applyAlignment="1">
      <alignment horizontal="right"/>
    </xf>
    <xf numFmtId="167" fontId="27" fillId="11" borderId="0" xfId="5" applyNumberFormat="1" applyFont="1" applyFill="1" applyBorder="1"/>
    <xf numFmtId="167" fontId="21" fillId="13" borderId="12" xfId="5" applyNumberFormat="1" applyFont="1" applyFill="1" applyBorder="1"/>
    <xf numFmtId="167" fontId="21" fillId="13" borderId="13" xfId="5" applyNumberFormat="1" applyFont="1" applyFill="1" applyBorder="1"/>
    <xf numFmtId="167" fontId="20" fillId="13" borderId="15" xfId="5" applyNumberFormat="1" applyFont="1" applyFill="1" applyBorder="1"/>
    <xf numFmtId="167" fontId="20" fillId="13" borderId="17" xfId="5" applyNumberFormat="1" applyFont="1" applyFill="1" applyBorder="1"/>
    <xf numFmtId="167" fontId="0" fillId="13" borderId="17" xfId="5" applyNumberFormat="1" applyFont="1" applyFill="1" applyBorder="1"/>
    <xf numFmtId="167" fontId="0" fillId="13" borderId="18" xfId="5" applyNumberFormat="1" applyFont="1" applyFill="1" applyBorder="1"/>
    <xf numFmtId="0" fontId="27" fillId="11" borderId="11" xfId="0" quotePrefix="1" applyFont="1" applyFill="1" applyBorder="1" applyAlignment="1">
      <alignment horizontal="right"/>
    </xf>
    <xf numFmtId="167" fontId="27" fillId="11" borderId="12" xfId="5" applyNumberFormat="1" applyFont="1" applyFill="1" applyBorder="1"/>
    <xf numFmtId="0" fontId="27" fillId="11" borderId="12" xfId="0" quotePrefix="1" applyFont="1" applyFill="1" applyBorder="1" applyAlignment="1">
      <alignment horizontal="right"/>
    </xf>
    <xf numFmtId="167" fontId="27" fillId="11" borderId="13" xfId="5" applyNumberFormat="1" applyFont="1" applyFill="1" applyBorder="1"/>
    <xf numFmtId="0" fontId="27" fillId="11" borderId="14" xfId="0" quotePrefix="1" applyFont="1" applyFill="1" applyBorder="1" applyAlignment="1">
      <alignment horizontal="right"/>
    </xf>
    <xf numFmtId="167" fontId="27" fillId="11" borderId="15" xfId="5" applyNumberFormat="1" applyFont="1" applyFill="1" applyBorder="1"/>
    <xf numFmtId="0" fontId="27" fillId="11" borderId="16" xfId="0" quotePrefix="1" applyFont="1" applyFill="1" applyBorder="1" applyAlignment="1">
      <alignment horizontal="right"/>
    </xf>
    <xf numFmtId="167" fontId="27" fillId="11" borderId="17" xfId="5" applyNumberFormat="1" applyFont="1" applyFill="1" applyBorder="1"/>
    <xf numFmtId="0" fontId="27" fillId="11" borderId="17" xfId="0" quotePrefix="1" applyFont="1" applyFill="1" applyBorder="1" applyAlignment="1">
      <alignment horizontal="right"/>
    </xf>
    <xf numFmtId="167" fontId="27" fillId="11" borderId="18" xfId="5" applyNumberFormat="1" applyFont="1" applyFill="1" applyBorder="1"/>
    <xf numFmtId="0" fontId="24" fillId="13" borderId="11" xfId="0" quotePrefix="1" applyFont="1" applyFill="1" applyBorder="1"/>
    <xf numFmtId="0" fontId="20" fillId="13" borderId="14" xfId="0" quotePrefix="1" applyFont="1" applyFill="1" applyBorder="1"/>
    <xf numFmtId="0" fontId="20" fillId="13" borderId="16" xfId="0" quotePrefix="1" applyFont="1" applyFill="1" applyBorder="1"/>
    <xf numFmtId="0" fontId="22" fillId="10" borderId="11" xfId="0" applyFont="1" applyFill="1" applyBorder="1"/>
    <xf numFmtId="167" fontId="23" fillId="10" borderId="12" xfId="5" applyNumberFormat="1" applyFont="1" applyFill="1" applyBorder="1"/>
    <xf numFmtId="0" fontId="25" fillId="10" borderId="13" xfId="0" applyFont="1" applyFill="1" applyBorder="1" applyAlignment="1">
      <alignment horizontal="right"/>
    </xf>
    <xf numFmtId="0" fontId="0" fillId="0" borderId="14" xfId="0" applyBorder="1"/>
    <xf numFmtId="167" fontId="0" fillId="0" borderId="15" xfId="5" applyNumberFormat="1" applyFont="1" applyBorder="1"/>
    <xf numFmtId="0" fontId="0" fillId="9" borderId="14" xfId="0" applyFill="1" applyBorder="1"/>
    <xf numFmtId="10" fontId="2" fillId="9" borderId="15" xfId="1" applyNumberFormat="1" applyFont="1" applyFill="1" applyBorder="1"/>
    <xf numFmtId="167" fontId="2" fillId="0" borderId="15" xfId="5" applyNumberFormat="1" applyFont="1" applyFill="1" applyBorder="1"/>
    <xf numFmtId="167" fontId="1" fillId="0" borderId="15" xfId="5" applyNumberFormat="1" applyFont="1" applyFill="1" applyBorder="1"/>
    <xf numFmtId="167" fontId="0" fillId="9" borderId="15" xfId="5" applyNumberFormat="1" applyFont="1" applyFill="1" applyBorder="1"/>
    <xf numFmtId="167" fontId="2" fillId="9" borderId="15" xfId="5" applyNumberFormat="1" applyFont="1" applyFill="1" applyBorder="1"/>
    <xf numFmtId="0" fontId="2" fillId="8" borderId="14" xfId="0" applyFont="1" applyFill="1" applyBorder="1" applyAlignment="1">
      <alignment vertical="top" wrapText="1"/>
    </xf>
    <xf numFmtId="167" fontId="0" fillId="8" borderId="15" xfId="5" applyNumberFormat="1" applyFont="1" applyFill="1" applyBorder="1"/>
    <xf numFmtId="0" fontId="0" fillId="0" borderId="14" xfId="0" applyBorder="1" applyAlignment="1">
      <alignment vertical="top" wrapText="1"/>
    </xf>
    <xf numFmtId="0" fontId="0" fillId="9" borderId="16" xfId="0" applyFill="1" applyBorder="1"/>
    <xf numFmtId="167" fontId="2" fillId="9" borderId="17" xfId="5" applyNumberFormat="1" applyFont="1" applyFill="1" applyBorder="1"/>
    <xf numFmtId="9" fontId="2" fillId="9" borderId="18" xfId="1" applyFont="1" applyFill="1" applyBorder="1"/>
    <xf numFmtId="167" fontId="0" fillId="0" borderId="0" xfId="0" applyNumberFormat="1" applyBorder="1"/>
    <xf numFmtId="0" fontId="11" fillId="0" borderId="0" xfId="0" applyFont="1"/>
    <xf numFmtId="0" fontId="25" fillId="14" borderId="19" xfId="0" applyFont="1" applyFill="1" applyBorder="1" applyAlignment="1">
      <alignment horizontal="center" vertical="center"/>
    </xf>
    <xf numFmtId="0" fontId="25" fillId="14" borderId="19" xfId="0" applyFont="1" applyFill="1" applyBorder="1" applyAlignment="1">
      <alignment horizontal="center" vertical="center" wrapText="1"/>
    </xf>
    <xf numFmtId="0" fontId="11" fillId="15" borderId="19" xfId="0" applyFont="1" applyFill="1" applyBorder="1"/>
    <xf numFmtId="1" fontId="11" fillId="15" borderId="19" xfId="6" applyNumberFormat="1" applyFont="1" applyFill="1" applyBorder="1"/>
    <xf numFmtId="168" fontId="11" fillId="15" borderId="19" xfId="6" applyFont="1" applyFill="1" applyBorder="1"/>
    <xf numFmtId="9" fontId="29" fillId="15" borderId="19" xfId="1" applyFont="1" applyFill="1" applyBorder="1" applyAlignment="1">
      <alignment horizontal="center"/>
    </xf>
    <xf numFmtId="3" fontId="30" fillId="15" borderId="19" xfId="6" applyNumberFormat="1" applyFont="1" applyFill="1" applyBorder="1"/>
    <xf numFmtId="0" fontId="31" fillId="15" borderId="19" xfId="0" applyFont="1" applyFill="1" applyBorder="1"/>
    <xf numFmtId="0" fontId="32" fillId="15" borderId="19" xfId="0" applyFont="1" applyFill="1" applyBorder="1"/>
    <xf numFmtId="1" fontId="33" fillId="15" borderId="19" xfId="6" applyNumberFormat="1" applyFont="1" applyFill="1" applyBorder="1"/>
    <xf numFmtId="0" fontId="11" fillId="15" borderId="19" xfId="0" applyFont="1" applyFill="1" applyBorder="1" applyAlignment="1">
      <alignment vertical="center"/>
    </xf>
    <xf numFmtId="1" fontId="33" fillId="15" borderId="19" xfId="6" applyNumberFormat="1" applyFont="1" applyFill="1" applyBorder="1" applyAlignment="1">
      <alignment vertical="center"/>
    </xf>
    <xf numFmtId="168" fontId="11" fillId="15" borderId="19" xfId="6" applyFont="1" applyFill="1" applyBorder="1" applyAlignment="1">
      <alignment vertical="center"/>
    </xf>
    <xf numFmtId="9" fontId="29" fillId="15" borderId="19" xfId="1" applyFont="1" applyFill="1" applyBorder="1" applyAlignment="1">
      <alignment horizontal="center" vertical="center"/>
    </xf>
    <xf numFmtId="0" fontId="32" fillId="15" borderId="19" xfId="0" applyFont="1" applyFill="1" applyBorder="1" applyAlignment="1">
      <alignment horizontal="left" vertical="top" wrapText="1"/>
    </xf>
    <xf numFmtId="0" fontId="11" fillId="15" borderId="19" xfId="0" applyFont="1" applyFill="1" applyBorder="1" applyAlignment="1">
      <alignment wrapText="1"/>
    </xf>
    <xf numFmtId="3" fontId="34" fillId="18" borderId="19" xfId="6" applyNumberFormat="1" applyFont="1" applyFill="1" applyBorder="1"/>
    <xf numFmtId="168" fontId="35" fillId="18" borderId="19" xfId="6" applyFont="1" applyFill="1" applyBorder="1" applyAlignment="1">
      <alignment horizontal="center"/>
    </xf>
    <xf numFmtId="0" fontId="11" fillId="18" borderId="19" xfId="0" applyFont="1" applyFill="1" applyBorder="1"/>
    <xf numFmtId="0" fontId="31" fillId="15" borderId="19" xfId="0" applyFont="1" applyFill="1" applyBorder="1" applyAlignment="1">
      <alignment wrapText="1"/>
    </xf>
    <xf numFmtId="0" fontId="11" fillId="15" borderId="19" xfId="0" applyFont="1" applyFill="1" applyBorder="1" applyAlignment="1">
      <alignment vertical="center" wrapText="1"/>
    </xf>
    <xf numFmtId="168" fontId="29" fillId="15" borderId="19" xfId="6" applyFont="1" applyFill="1" applyBorder="1"/>
    <xf numFmtId="0" fontId="25" fillId="17" borderId="19" xfId="0" applyFont="1" applyFill="1" applyBorder="1"/>
    <xf numFmtId="0" fontId="11" fillId="17" borderId="19" xfId="0" applyFont="1" applyFill="1" applyBorder="1"/>
    <xf numFmtId="169" fontId="11" fillId="17" borderId="19" xfId="6" applyNumberFormat="1" applyFont="1" applyFill="1" applyBorder="1"/>
    <xf numFmtId="168" fontId="11" fillId="17" borderId="19" xfId="6" applyFont="1" applyFill="1" applyBorder="1"/>
    <xf numFmtId="168" fontId="11" fillId="17" borderId="19" xfId="6" applyFont="1" applyFill="1" applyBorder="1" applyAlignment="1">
      <alignment horizontal="center"/>
    </xf>
    <xf numFmtId="0" fontId="32" fillId="17" borderId="19" xfId="0" applyFont="1" applyFill="1" applyBorder="1"/>
    <xf numFmtId="0" fontId="33" fillId="15" borderId="19" xfId="0" applyFont="1" applyFill="1" applyBorder="1"/>
    <xf numFmtId="170" fontId="11" fillId="15" borderId="19" xfId="6" applyNumberFormat="1" applyFont="1" applyFill="1" applyBorder="1"/>
    <xf numFmtId="169" fontId="11" fillId="15" borderId="19" xfId="6" applyNumberFormat="1" applyFont="1" applyFill="1" applyBorder="1"/>
    <xf numFmtId="168" fontId="29" fillId="15" borderId="19" xfId="6" applyFont="1" applyFill="1" applyBorder="1" applyAlignment="1">
      <alignment horizontal="center"/>
    </xf>
    <xf numFmtId="3" fontId="34" fillId="15" borderId="19" xfId="6" applyNumberFormat="1" applyFont="1" applyFill="1" applyBorder="1"/>
    <xf numFmtId="0" fontId="11" fillId="15" borderId="8" xfId="0" applyFont="1" applyFill="1" applyBorder="1"/>
    <xf numFmtId="0" fontId="11" fillId="15" borderId="9" xfId="0" applyFont="1" applyFill="1" applyBorder="1"/>
    <xf numFmtId="169" fontId="11" fillId="15" borderId="9" xfId="6" applyNumberFormat="1" applyFont="1" applyFill="1" applyBorder="1"/>
    <xf numFmtId="168" fontId="11" fillId="15" borderId="9" xfId="6" applyFont="1" applyFill="1" applyBorder="1"/>
    <xf numFmtId="168" fontId="29" fillId="15" borderId="9" xfId="6" applyFont="1" applyFill="1" applyBorder="1" applyAlignment="1">
      <alignment horizontal="center"/>
    </xf>
    <xf numFmtId="168" fontId="29" fillId="15" borderId="9" xfId="6" applyFont="1" applyFill="1" applyBorder="1"/>
    <xf numFmtId="0" fontId="31" fillId="15" borderId="10" xfId="0" applyFont="1" applyFill="1" applyBorder="1"/>
    <xf numFmtId="168" fontId="25" fillId="16" borderId="19" xfId="6" applyFont="1" applyFill="1" applyBorder="1"/>
    <xf numFmtId="168" fontId="35" fillId="16" borderId="19" xfId="6" applyFont="1" applyFill="1" applyBorder="1" applyAlignment="1">
      <alignment horizontal="center"/>
    </xf>
    <xf numFmtId="3" fontId="34" fillId="16" borderId="19" xfId="6" applyNumberFormat="1" applyFont="1" applyFill="1" applyBorder="1"/>
    <xf numFmtId="0" fontId="36" fillId="16" borderId="19" xfId="0" applyFont="1" applyFill="1" applyBorder="1"/>
    <xf numFmtId="0" fontId="25" fillId="15" borderId="0" xfId="0" applyFont="1" applyFill="1" applyBorder="1" applyAlignment="1">
      <alignment horizontal="right" wrapText="1"/>
    </xf>
    <xf numFmtId="168" fontId="25" fillId="15" borderId="0" xfId="6" applyFont="1" applyFill="1" applyBorder="1"/>
    <xf numFmtId="168" fontId="35" fillId="15" borderId="0" xfId="6" applyFont="1" applyFill="1" applyBorder="1" applyAlignment="1">
      <alignment horizontal="center"/>
    </xf>
    <xf numFmtId="168" fontId="35" fillId="15" borderId="0" xfId="6" applyFont="1" applyFill="1" applyBorder="1"/>
    <xf numFmtId="0" fontId="36" fillId="15" borderId="0" xfId="0" applyFont="1" applyFill="1" applyBorder="1"/>
    <xf numFmtId="0" fontId="25" fillId="15" borderId="10" xfId="0" applyFont="1" applyFill="1" applyBorder="1" applyAlignment="1">
      <alignment horizontal="center"/>
    </xf>
    <xf numFmtId="0" fontId="25" fillId="15" borderId="10" xfId="0" applyFont="1" applyFill="1" applyBorder="1" applyAlignment="1">
      <alignment horizontal="left"/>
    </xf>
    <xf numFmtId="1" fontId="30" fillId="15" borderId="19" xfId="6" applyNumberFormat="1" applyFont="1" applyFill="1" applyBorder="1"/>
    <xf numFmtId="168" fontId="33" fillId="15" borderId="19" xfId="6" applyFont="1" applyFill="1" applyBorder="1"/>
    <xf numFmtId="9" fontId="33" fillId="15" borderId="19" xfId="1" applyFont="1" applyFill="1" applyBorder="1" applyAlignment="1">
      <alignment horizontal="center"/>
    </xf>
    <xf numFmtId="0" fontId="37" fillId="15" borderId="19" xfId="0" applyFont="1" applyFill="1" applyBorder="1"/>
    <xf numFmtId="0" fontId="30" fillId="15" borderId="19" xfId="0" applyFont="1" applyFill="1" applyBorder="1"/>
    <xf numFmtId="168" fontId="25" fillId="16" borderId="21" xfId="6" applyFont="1" applyFill="1" applyBorder="1"/>
    <xf numFmtId="168" fontId="25" fillId="16" borderId="21" xfId="6" applyFont="1" applyFill="1" applyBorder="1" applyAlignment="1">
      <alignment horizontal="center"/>
    </xf>
    <xf numFmtId="3" fontId="34" fillId="16" borderId="21" xfId="6" applyNumberFormat="1" applyFont="1" applyFill="1" applyBorder="1"/>
    <xf numFmtId="0" fontId="38" fillId="16" borderId="21" xfId="0" applyFont="1" applyFill="1" applyBorder="1"/>
    <xf numFmtId="0" fontId="31" fillId="15" borderId="12" xfId="0" applyFont="1" applyFill="1" applyBorder="1" applyAlignment="1"/>
    <xf numFmtId="167" fontId="39" fillId="0" borderId="0" xfId="5" applyNumberFormat="1" applyFont="1" applyBorder="1"/>
    <xf numFmtId="167" fontId="26" fillId="0" borderId="0" xfId="5" applyNumberFormat="1" applyFont="1" applyFill="1" applyBorder="1"/>
    <xf numFmtId="0" fontId="26" fillId="0" borderId="0" xfId="0" applyFont="1" applyBorder="1" applyAlignment="1">
      <alignment vertical="top" wrapText="1"/>
    </xf>
    <xf numFmtId="0" fontId="25" fillId="15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67" fontId="0" fillId="0" borderId="0" xfId="5" applyNumberFormat="1" applyFont="1" applyBorder="1" applyAlignment="1">
      <alignment vertical="center"/>
    </xf>
    <xf numFmtId="167" fontId="39" fillId="0" borderId="0" xfId="5" applyNumberFormat="1" applyFont="1" applyBorder="1" applyAlignment="1">
      <alignment vertical="center"/>
    </xf>
    <xf numFmtId="0" fontId="0" fillId="9" borderId="34" xfId="0" applyFill="1" applyBorder="1"/>
    <xf numFmtId="0" fontId="2" fillId="9" borderId="35" xfId="0" applyFont="1" applyFill="1" applyBorder="1"/>
    <xf numFmtId="167" fontId="2" fillId="9" borderId="35" xfId="5" applyNumberFormat="1" applyFont="1" applyFill="1" applyBorder="1" applyAlignment="1">
      <alignment horizontal="center"/>
    </xf>
    <xf numFmtId="167" fontId="0" fillId="9" borderId="36" xfId="5" applyNumberFormat="1" applyFont="1" applyFill="1" applyBorder="1"/>
    <xf numFmtId="0" fontId="0" fillId="9" borderId="2" xfId="0" applyFill="1" applyBorder="1"/>
    <xf numFmtId="167" fontId="2" fillId="9" borderId="3" xfId="5" applyNumberFormat="1" applyFont="1" applyFill="1" applyBorder="1"/>
    <xf numFmtId="167" fontId="0" fillId="0" borderId="3" xfId="5" applyNumberFormat="1" applyFont="1" applyBorder="1"/>
    <xf numFmtId="0" fontId="2" fillId="8" borderId="2" xfId="0" applyFont="1" applyFill="1" applyBorder="1" applyAlignment="1">
      <alignment vertical="top" wrapText="1"/>
    </xf>
    <xf numFmtId="167" fontId="2" fillId="8" borderId="3" xfId="5" applyNumberFormat="1" applyFont="1" applyFill="1" applyBorder="1"/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167" fontId="0" fillId="0" borderId="37" xfId="5" applyNumberFormat="1" applyFont="1" applyBorder="1"/>
    <xf numFmtId="167" fontId="0" fillId="0" borderId="5" xfId="5" applyNumberFormat="1" applyFont="1" applyBorder="1"/>
    <xf numFmtId="167" fontId="0" fillId="9" borderId="3" xfId="5" applyNumberFormat="1" applyFont="1" applyFill="1" applyBorder="1"/>
    <xf numFmtId="0" fontId="3" fillId="7" borderId="1" xfId="0" applyFont="1" applyFill="1" applyBorder="1" applyAlignment="1" applyProtection="1">
      <alignment vertical="center" wrapText="1"/>
    </xf>
    <xf numFmtId="0" fontId="11" fillId="7" borderId="6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3" fontId="25" fillId="7" borderId="7" xfId="0" applyNumberFormat="1" applyFont="1" applyFill="1" applyBorder="1" applyAlignment="1">
      <alignment vertical="center"/>
    </xf>
    <xf numFmtId="0" fontId="11" fillId="0" borderId="32" xfId="0" applyFont="1" applyBorder="1"/>
    <xf numFmtId="0" fontId="4" fillId="0" borderId="32" xfId="0" applyFont="1" applyBorder="1" applyAlignment="1">
      <alignment vertical="top" wrapText="1"/>
    </xf>
    <xf numFmtId="3" fontId="25" fillId="0" borderId="3" xfId="0" applyNumberFormat="1" applyFont="1" applyBorder="1"/>
    <xf numFmtId="0" fontId="11" fillId="0" borderId="0" xfId="0" applyFont="1" applyFill="1"/>
    <xf numFmtId="0" fontId="25" fillId="0" borderId="2" xfId="0" applyFont="1" applyBorder="1"/>
    <xf numFmtId="0" fontId="25" fillId="0" borderId="3" xfId="0" applyFont="1" applyBorder="1"/>
    <xf numFmtId="0" fontId="25" fillId="0" borderId="0" xfId="0" applyFont="1"/>
    <xf numFmtId="3" fontId="34" fillId="0" borderId="3" xfId="0" applyNumberFormat="1" applyFont="1" applyBorder="1"/>
    <xf numFmtId="0" fontId="11" fillId="0" borderId="33" xfId="0" applyFont="1" applyBorder="1"/>
    <xf numFmtId="1" fontId="22" fillId="0" borderId="0" xfId="0" applyNumberFormat="1" applyFont="1" applyBorder="1"/>
    <xf numFmtId="167" fontId="0" fillId="0" borderId="14" xfId="5" applyNumberFormat="1" applyFont="1" applyBorder="1"/>
    <xf numFmtId="167" fontId="0" fillId="9" borderId="14" xfId="5" applyNumberFormat="1" applyFont="1" applyFill="1" applyBorder="1"/>
    <xf numFmtId="167" fontId="23" fillId="10" borderId="14" xfId="5" applyNumberFormat="1" applyFont="1" applyFill="1" applyBorder="1"/>
    <xf numFmtId="167" fontId="23" fillId="10" borderId="0" xfId="5" applyNumberFormat="1" applyFont="1" applyFill="1" applyBorder="1"/>
    <xf numFmtId="167" fontId="23" fillId="10" borderId="15" xfId="5" applyNumberFormat="1" applyFont="1" applyFill="1" applyBorder="1"/>
    <xf numFmtId="167" fontId="2" fillId="9" borderId="14" xfId="5" applyNumberFormat="1" applyFont="1" applyFill="1" applyBorder="1"/>
    <xf numFmtId="167" fontId="2" fillId="8" borderId="14" xfId="5" applyNumberFormat="1" applyFont="1" applyFill="1" applyBorder="1"/>
    <xf numFmtId="167" fontId="2" fillId="8" borderId="15" xfId="5" applyNumberFormat="1" applyFont="1" applyFill="1" applyBorder="1"/>
    <xf numFmtId="0" fontId="40" fillId="0" borderId="0" xfId="0" applyFont="1" applyBorder="1"/>
    <xf numFmtId="167" fontId="40" fillId="0" borderId="0" xfId="0" applyNumberFormat="1" applyFont="1" applyBorder="1"/>
    <xf numFmtId="167" fontId="2" fillId="9" borderId="16" xfId="5" applyNumberFormat="1" applyFont="1" applyFill="1" applyBorder="1"/>
    <xf numFmtId="167" fontId="2" fillId="9" borderId="18" xfId="5" applyNumberFormat="1" applyFont="1" applyFill="1" applyBorder="1"/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0" borderId="0" xfId="0" applyFont="1" applyBorder="1"/>
    <xf numFmtId="0" fontId="24" fillId="13" borderId="12" xfId="0" quotePrefix="1" applyFont="1" applyFill="1" applyBorder="1"/>
    <xf numFmtId="0" fontId="20" fillId="13" borderId="0" xfId="0" quotePrefix="1" applyFont="1" applyFill="1" applyBorder="1"/>
    <xf numFmtId="0" fontId="20" fillId="13" borderId="17" xfId="0" quotePrefix="1" applyFont="1" applyFill="1" applyBorder="1"/>
    <xf numFmtId="0" fontId="2" fillId="20" borderId="0" xfId="0" applyFont="1" applyFill="1" applyBorder="1"/>
    <xf numFmtId="167" fontId="2" fillId="0" borderId="0" xfId="5" applyNumberFormat="1" applyFont="1" applyBorder="1"/>
    <xf numFmtId="166" fontId="0" fillId="0" borderId="0" xfId="1" applyNumberFormat="1" applyFont="1" applyBorder="1"/>
    <xf numFmtId="10" fontId="0" fillId="0" borderId="0" xfId="1" applyNumberFormat="1" applyFont="1" applyBorder="1"/>
    <xf numFmtId="0" fontId="42" fillId="8" borderId="0" xfId="0" applyFont="1" applyFill="1" applyBorder="1"/>
    <xf numFmtId="167" fontId="42" fillId="8" borderId="0" xfId="5" applyNumberFormat="1" applyFont="1" applyFill="1" applyBorder="1"/>
    <xf numFmtId="0" fontId="43" fillId="0" borderId="0" xfId="0" applyFont="1" applyBorder="1"/>
    <xf numFmtId="167" fontId="43" fillId="0" borderId="0" xfId="5" applyNumberFormat="1" applyFont="1" applyBorder="1"/>
    <xf numFmtId="0" fontId="43" fillId="0" borderId="0" xfId="0" applyFont="1" applyFill="1" applyBorder="1"/>
    <xf numFmtId="167" fontId="19" fillId="8" borderId="0" xfId="5" applyNumberFormat="1" applyFont="1" applyFill="1" applyBorder="1"/>
    <xf numFmtId="167" fontId="2" fillId="0" borderId="15" xfId="5" applyNumberFormat="1" applyFont="1" applyBorder="1" applyAlignment="1">
      <alignment horizontal="center"/>
    </xf>
    <xf numFmtId="167" fontId="42" fillId="8" borderId="15" xfId="5" applyNumberFormat="1" applyFont="1" applyFill="1" applyBorder="1"/>
    <xf numFmtId="167" fontId="43" fillId="0" borderId="15" xfId="5" applyNumberFormat="1" applyFont="1" applyBorder="1"/>
    <xf numFmtId="167" fontId="2" fillId="0" borderId="3" xfId="5" applyNumberFormat="1" applyFont="1" applyBorder="1" applyAlignment="1">
      <alignment horizontal="center"/>
    </xf>
    <xf numFmtId="167" fontId="2" fillId="20" borderId="3" xfId="5" applyNumberFormat="1" applyFont="1" applyFill="1" applyBorder="1"/>
    <xf numFmtId="167" fontId="42" fillId="8" borderId="3" xfId="5" applyNumberFormat="1" applyFont="1" applyFill="1" applyBorder="1"/>
    <xf numFmtId="167" fontId="43" fillId="0" borderId="3" xfId="5" applyNumberFormat="1" applyFont="1" applyBorder="1"/>
    <xf numFmtId="0" fontId="2" fillId="20" borderId="2" xfId="0" applyFont="1" applyFill="1" applyBorder="1"/>
    <xf numFmtId="167" fontId="2" fillId="0" borderId="3" xfId="5" applyNumberFormat="1" applyFont="1" applyBorder="1"/>
    <xf numFmtId="0" fontId="2" fillId="20" borderId="37" xfId="0" applyFont="1" applyFill="1" applyBorder="1"/>
    <xf numFmtId="167" fontId="2" fillId="20" borderId="5" xfId="5" applyNumberFormat="1" applyFont="1" applyFill="1" applyBorder="1"/>
    <xf numFmtId="0" fontId="2" fillId="0" borderId="14" xfId="0" applyFont="1" applyBorder="1" applyAlignment="1">
      <alignment horizontal="center"/>
    </xf>
    <xf numFmtId="167" fontId="1" fillId="20" borderId="14" xfId="5" applyNumberFormat="1" applyFont="1" applyFill="1" applyBorder="1"/>
    <xf numFmtId="167" fontId="42" fillId="8" borderId="14" xfId="5" applyNumberFormat="1" applyFont="1" applyFill="1" applyBorder="1"/>
    <xf numFmtId="167" fontId="43" fillId="0" borderId="14" xfId="5" applyNumberFormat="1" applyFont="1" applyBorder="1"/>
    <xf numFmtId="167" fontId="1" fillId="0" borderId="14" xfId="5" applyNumberFormat="1" applyFont="1" applyBorder="1"/>
    <xf numFmtId="167" fontId="1" fillId="20" borderId="40" xfId="5" applyNumberFormat="1" applyFont="1" applyFill="1" applyBorder="1"/>
    <xf numFmtId="167" fontId="1" fillId="20" borderId="15" xfId="5" applyNumberFormat="1" applyFont="1" applyFill="1" applyBorder="1"/>
    <xf numFmtId="167" fontId="1" fillId="0" borderId="15" xfId="5" applyNumberFormat="1" applyFont="1" applyBorder="1"/>
    <xf numFmtId="167" fontId="1" fillId="20" borderId="41" xfId="5" applyNumberFormat="1" applyFont="1" applyFill="1" applyBorder="1"/>
    <xf numFmtId="167" fontId="2" fillId="0" borderId="20" xfId="5" applyNumberFormat="1" applyFont="1" applyBorder="1" applyAlignment="1">
      <alignment horizontal="center"/>
    </xf>
    <xf numFmtId="167" fontId="1" fillId="20" borderId="20" xfId="5" applyNumberFormat="1" applyFont="1" applyFill="1" applyBorder="1"/>
    <xf numFmtId="167" fontId="42" fillId="8" borderId="20" xfId="5" applyNumberFormat="1" applyFont="1" applyFill="1" applyBorder="1"/>
    <xf numFmtId="167" fontId="43" fillId="0" borderId="20" xfId="5" applyNumberFormat="1" applyFont="1" applyBorder="1"/>
    <xf numFmtId="167" fontId="0" fillId="0" borderId="20" xfId="5" applyNumberFormat="1" applyFont="1" applyBorder="1"/>
    <xf numFmtId="167" fontId="1" fillId="0" borderId="20" xfId="5" applyNumberFormat="1" applyFont="1" applyBorder="1"/>
    <xf numFmtId="167" fontId="1" fillId="20" borderId="42" xfId="5" applyNumberFormat="1" applyFont="1" applyFill="1" applyBorder="1"/>
    <xf numFmtId="0" fontId="44" fillId="9" borderId="0" xfId="0" applyFont="1" applyFill="1" applyBorder="1"/>
    <xf numFmtId="0" fontId="0" fillId="9" borderId="44" xfId="0" applyFill="1" applyBorder="1"/>
    <xf numFmtId="0" fontId="0" fillId="9" borderId="9" xfId="0" applyFill="1" applyBorder="1"/>
    <xf numFmtId="0" fontId="2" fillId="9" borderId="8" xfId="0" applyFont="1" applyFill="1" applyBorder="1" applyAlignment="1">
      <alignment horizontal="center"/>
    </xf>
    <xf numFmtId="167" fontId="2" fillId="9" borderId="19" xfId="5" applyNumberFormat="1" applyFont="1" applyFill="1" applyBorder="1" applyAlignment="1">
      <alignment horizontal="center"/>
    </xf>
    <xf numFmtId="167" fontId="2" fillId="9" borderId="10" xfId="5" applyNumberFormat="1" applyFont="1" applyFill="1" applyBorder="1" applyAlignment="1">
      <alignment horizontal="center"/>
    </xf>
    <xf numFmtId="167" fontId="2" fillId="9" borderId="45" xfId="5" applyNumberFormat="1" applyFont="1" applyFill="1" applyBorder="1" applyAlignment="1">
      <alignment horizontal="center"/>
    </xf>
    <xf numFmtId="0" fontId="0" fillId="0" borderId="46" xfId="0" applyBorder="1"/>
    <xf numFmtId="0" fontId="2" fillId="20" borderId="47" xfId="0" applyFont="1" applyFill="1" applyBorder="1" applyAlignment="1">
      <alignment horizontal="right"/>
    </xf>
    <xf numFmtId="0" fontId="42" fillId="8" borderId="47" xfId="0" applyFont="1" applyFill="1" applyBorder="1" applyAlignment="1">
      <alignment horizontal="right"/>
    </xf>
    <xf numFmtId="0" fontId="43" fillId="0" borderId="47" xfId="0" applyFont="1" applyBorder="1"/>
    <xf numFmtId="0" fontId="0" fillId="0" borderId="47" xfId="0" applyBorder="1"/>
    <xf numFmtId="0" fontId="2" fillId="20" borderId="47" xfId="0" applyFont="1" applyFill="1" applyBorder="1"/>
    <xf numFmtId="0" fontId="2" fillId="0" borderId="47" xfId="0" applyFont="1" applyBorder="1"/>
    <xf numFmtId="0" fontId="44" fillId="9" borderId="47" xfId="0" applyFont="1" applyFill="1" applyBorder="1"/>
    <xf numFmtId="0" fontId="2" fillId="20" borderId="48" xfId="0" applyFont="1" applyFill="1" applyBorder="1"/>
    <xf numFmtId="0" fontId="0" fillId="0" borderId="2" xfId="0" applyBorder="1" applyAlignment="1">
      <alignment horizontal="right"/>
    </xf>
    <xf numFmtId="167" fontId="2" fillId="9" borderId="9" xfId="5" applyNumberFormat="1" applyFont="1" applyFill="1" applyBorder="1" applyAlignment="1">
      <alignment horizontal="center"/>
    </xf>
    <xf numFmtId="0" fontId="0" fillId="0" borderId="20" xfId="0" applyBorder="1"/>
    <xf numFmtId="167" fontId="0" fillId="0" borderId="2" xfId="5" applyNumberFormat="1" applyFont="1" applyBorder="1"/>
    <xf numFmtId="167" fontId="0" fillId="0" borderId="30" xfId="5" applyNumberFormat="1" applyFont="1" applyBorder="1"/>
    <xf numFmtId="167" fontId="43" fillId="0" borderId="2" xfId="5" applyNumberFormat="1" applyFont="1" applyBorder="1" applyAlignment="1">
      <alignment horizontal="right"/>
    </xf>
    <xf numFmtId="167" fontId="42" fillId="8" borderId="2" xfId="5" applyNumberFormat="1" applyFont="1" applyFill="1" applyBorder="1" applyAlignment="1">
      <alignment horizontal="right"/>
    </xf>
    <xf numFmtId="167" fontId="2" fillId="19" borderId="2" xfId="5" applyNumberFormat="1" applyFont="1" applyFill="1" applyBorder="1" applyAlignment="1">
      <alignment horizontal="right"/>
    </xf>
    <xf numFmtId="167" fontId="2" fillId="19" borderId="20" xfId="5" applyNumberFormat="1" applyFont="1" applyFill="1" applyBorder="1"/>
    <xf numFmtId="167" fontId="2" fillId="19" borderId="0" xfId="5" applyNumberFormat="1" applyFont="1" applyFill="1" applyBorder="1"/>
    <xf numFmtId="167" fontId="2" fillId="19" borderId="3" xfId="5" applyNumberFormat="1" applyFont="1" applyFill="1" applyBorder="1"/>
    <xf numFmtId="167" fontId="2" fillId="19" borderId="2" xfId="5" applyNumberFormat="1" applyFont="1" applyFill="1" applyBorder="1"/>
    <xf numFmtId="167" fontId="2" fillId="0" borderId="2" xfId="5" applyNumberFormat="1" applyFont="1" applyBorder="1"/>
    <xf numFmtId="167" fontId="2" fillId="0" borderId="20" xfId="5" applyNumberFormat="1" applyFont="1" applyBorder="1"/>
    <xf numFmtId="167" fontId="2" fillId="19" borderId="4" xfId="5" applyNumberFormat="1" applyFont="1" applyFill="1" applyBorder="1"/>
    <xf numFmtId="167" fontId="2" fillId="19" borderId="42" xfId="5" applyNumberFormat="1" applyFont="1" applyFill="1" applyBorder="1"/>
    <xf numFmtId="167" fontId="2" fillId="19" borderId="37" xfId="5" applyNumberFormat="1" applyFont="1" applyFill="1" applyBorder="1"/>
    <xf numFmtId="167" fontId="2" fillId="19" borderId="5" xfId="5" applyNumberFormat="1" applyFont="1" applyFill="1" applyBorder="1"/>
    <xf numFmtId="167" fontId="0" fillId="0" borderId="0" xfId="5" applyNumberFormat="1" applyFont="1" applyFill="1" applyBorder="1"/>
    <xf numFmtId="167" fontId="0" fillId="0" borderId="0" xfId="0" applyNumberFormat="1" applyFill="1" applyBorder="1"/>
    <xf numFmtId="167" fontId="2" fillId="20" borderId="0" xfId="0" applyNumberFormat="1" applyFont="1" applyFill="1" applyBorder="1"/>
    <xf numFmtId="0" fontId="0" fillId="0" borderId="2" xfId="0" applyFill="1" applyBorder="1" applyAlignment="1">
      <alignment horizontal="right"/>
    </xf>
    <xf numFmtId="0" fontId="2" fillId="20" borderId="20" xfId="0" applyFont="1" applyFill="1" applyBorder="1"/>
    <xf numFmtId="0" fontId="0" fillId="0" borderId="20" xfId="0" quotePrefix="1" applyFill="1" applyBorder="1"/>
    <xf numFmtId="167" fontId="0" fillId="0" borderId="20" xfId="0" applyNumberFormat="1" applyBorder="1"/>
    <xf numFmtId="0" fontId="0" fillId="0" borderId="20" xfId="0" applyFill="1" applyBorder="1"/>
    <xf numFmtId="167" fontId="2" fillId="20" borderId="20" xfId="0" applyNumberFormat="1" applyFont="1" applyFill="1" applyBorder="1"/>
    <xf numFmtId="167" fontId="2" fillId="20" borderId="50" xfId="0" applyNumberFormat="1" applyFont="1" applyFill="1" applyBorder="1"/>
    <xf numFmtId="167" fontId="0" fillId="0" borderId="50" xfId="0" applyNumberFormat="1" applyFill="1" applyBorder="1"/>
    <xf numFmtId="167" fontId="0" fillId="0" borderId="50" xfId="0" applyNumberFormat="1" applyBorder="1"/>
    <xf numFmtId="0" fontId="0" fillId="9" borderId="19" xfId="0" applyFill="1" applyBorder="1"/>
    <xf numFmtId="0" fontId="2" fillId="9" borderId="9" xfId="0" applyFont="1" applyFill="1" applyBorder="1" applyAlignment="1">
      <alignment horizontal="center"/>
    </xf>
    <xf numFmtId="167" fontId="2" fillId="9" borderId="49" xfId="5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right"/>
    </xf>
    <xf numFmtId="0" fontId="0" fillId="0" borderId="21" xfId="0" applyFill="1" applyBorder="1"/>
    <xf numFmtId="167" fontId="0" fillId="0" borderId="17" xfId="0" applyNumberFormat="1" applyBorder="1"/>
    <xf numFmtId="167" fontId="0" fillId="0" borderId="21" xfId="0" applyNumberFormat="1" applyBorder="1"/>
    <xf numFmtId="167" fontId="0" fillId="0" borderId="53" xfId="0" applyNumberFormat="1" applyBorder="1"/>
    <xf numFmtId="0" fontId="44" fillId="9" borderId="4" xfId="0" applyFont="1" applyFill="1" applyBorder="1" applyAlignment="1">
      <alignment vertical="center"/>
    </xf>
    <xf numFmtId="0" fontId="44" fillId="9" borderId="42" xfId="0" applyFont="1" applyFill="1" applyBorder="1" applyAlignment="1">
      <alignment vertical="center"/>
    </xf>
    <xf numFmtId="167" fontId="44" fillId="9" borderId="37" xfId="0" applyNumberFormat="1" applyFont="1" applyFill="1" applyBorder="1" applyAlignment="1">
      <alignment vertical="center"/>
    </xf>
    <xf numFmtId="167" fontId="44" fillId="9" borderId="42" xfId="0" applyNumberFormat="1" applyFont="1" applyFill="1" applyBorder="1" applyAlignment="1">
      <alignment vertical="center"/>
    </xf>
    <xf numFmtId="167" fontId="47" fillId="9" borderId="42" xfId="0" applyNumberFormat="1" applyFont="1" applyFill="1" applyBorder="1" applyAlignment="1">
      <alignment vertical="center"/>
    </xf>
    <xf numFmtId="167" fontId="44" fillId="9" borderId="51" xfId="0" applyNumberFormat="1" applyFont="1" applyFill="1" applyBorder="1" applyAlignment="1">
      <alignment vertical="center"/>
    </xf>
    <xf numFmtId="167" fontId="47" fillId="9" borderId="3" xfId="5" applyNumberFormat="1" applyFont="1" applyFill="1" applyBorder="1" applyAlignment="1">
      <alignment vertical="center"/>
    </xf>
    <xf numFmtId="167" fontId="45" fillId="9" borderId="14" xfId="5" applyNumberFormat="1" applyFont="1" applyFill="1" applyBorder="1" applyAlignment="1">
      <alignment vertical="center"/>
    </xf>
    <xf numFmtId="167" fontId="45" fillId="9" borderId="20" xfId="5" applyNumberFormat="1" applyFont="1" applyFill="1" applyBorder="1" applyAlignment="1">
      <alignment vertical="center"/>
    </xf>
    <xf numFmtId="167" fontId="45" fillId="9" borderId="15" xfId="5" applyNumberFormat="1" applyFont="1" applyFill="1" applyBorder="1" applyAlignment="1">
      <alignment vertical="center"/>
    </xf>
    <xf numFmtId="167" fontId="46" fillId="9" borderId="2" xfId="5" applyNumberFormat="1" applyFont="1" applyFill="1" applyBorder="1" applyAlignment="1">
      <alignment vertical="center"/>
    </xf>
    <xf numFmtId="167" fontId="46" fillId="9" borderId="20" xfId="5" applyNumberFormat="1" applyFont="1" applyFill="1" applyBorder="1" applyAlignment="1">
      <alignment vertical="center"/>
    </xf>
    <xf numFmtId="167" fontId="46" fillId="9" borderId="0" xfId="5" applyNumberFormat="1" applyFont="1" applyFill="1" applyBorder="1" applyAlignment="1">
      <alignment vertical="center"/>
    </xf>
    <xf numFmtId="167" fontId="46" fillId="9" borderId="3" xfId="5" applyNumberFormat="1" applyFont="1" applyFill="1" applyBorder="1" applyAlignment="1">
      <alignment vertical="center"/>
    </xf>
    <xf numFmtId="167" fontId="41" fillId="9" borderId="19" xfId="5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0" fillId="0" borderId="0" xfId="0" quotePrefix="1" applyFont="1" applyFill="1" applyBorder="1"/>
    <xf numFmtId="167" fontId="20" fillId="0" borderId="0" xfId="5" applyNumberFormat="1" applyFont="1" applyFill="1" applyBorder="1"/>
    <xf numFmtId="0" fontId="48" fillId="0" borderId="0" xfId="0" applyFont="1"/>
    <xf numFmtId="0" fontId="49" fillId="0" borderId="0" xfId="0" applyFont="1"/>
    <xf numFmtId="0" fontId="3" fillId="21" borderId="19" xfId="0" applyFont="1" applyFill="1" applyBorder="1" applyAlignment="1">
      <alignment horizontal="center" vertical="center"/>
    </xf>
    <xf numFmtId="0" fontId="3" fillId="21" borderId="19" xfId="0" applyFont="1" applyFill="1" applyBorder="1" applyAlignment="1">
      <alignment horizontal="center" vertical="center" wrapText="1"/>
    </xf>
    <xf numFmtId="0" fontId="50" fillId="0" borderId="19" xfId="0" applyFont="1" applyFill="1" applyBorder="1"/>
    <xf numFmtId="1" fontId="5" fillId="0" borderId="19" xfId="7" applyNumberFormat="1" applyFont="1" applyFill="1" applyBorder="1"/>
    <xf numFmtId="168" fontId="50" fillId="0" borderId="19" xfId="7" applyFont="1" applyFill="1" applyBorder="1"/>
    <xf numFmtId="172" fontId="50" fillId="0" borderId="19" xfId="8" applyNumberFormat="1" applyFont="1" applyFill="1" applyBorder="1"/>
    <xf numFmtId="0" fontId="52" fillId="0" borderId="19" xfId="0" applyFont="1" applyFill="1" applyBorder="1"/>
    <xf numFmtId="0" fontId="0" fillId="0" borderId="0" xfId="0" applyFill="1"/>
    <xf numFmtId="0" fontId="50" fillId="22" borderId="19" xfId="0" applyFont="1" applyFill="1" applyBorder="1"/>
    <xf numFmtId="1" fontId="5" fillId="22" borderId="19" xfId="7" applyNumberFormat="1" applyFont="1" applyFill="1" applyBorder="1"/>
    <xf numFmtId="168" fontId="50" fillId="22" borderId="19" xfId="7" applyFont="1" applyFill="1" applyBorder="1"/>
    <xf numFmtId="172" fontId="50" fillId="22" borderId="19" xfId="8" applyNumberFormat="1" applyFont="1" applyFill="1" applyBorder="1"/>
    <xf numFmtId="0" fontId="52" fillId="22" borderId="19" xfId="0" applyFont="1" applyFill="1" applyBorder="1"/>
    <xf numFmtId="0" fontId="50" fillId="0" borderId="19" xfId="0" applyFont="1" applyFill="1" applyBorder="1" applyAlignment="1">
      <alignment vertical="center"/>
    </xf>
    <xf numFmtId="1" fontId="5" fillId="0" borderId="19" xfId="7" applyNumberFormat="1" applyFont="1" applyFill="1" applyBorder="1" applyAlignment="1">
      <alignment vertical="center"/>
    </xf>
    <xf numFmtId="168" fontId="50" fillId="0" borderId="19" xfId="7" applyFont="1" applyFill="1" applyBorder="1" applyAlignment="1">
      <alignment vertical="center"/>
    </xf>
    <xf numFmtId="172" fontId="50" fillId="0" borderId="19" xfId="8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wrapText="1"/>
    </xf>
    <xf numFmtId="0" fontId="50" fillId="0" borderId="54" xfId="0" applyFont="1" applyBorder="1"/>
    <xf numFmtId="0" fontId="10" fillId="22" borderId="19" xfId="0" applyFont="1" applyFill="1" applyBorder="1" applyAlignment="1">
      <alignment horizontal="left" vertical="top" wrapText="1"/>
    </xf>
    <xf numFmtId="0" fontId="50" fillId="0" borderId="55" xfId="0" applyFont="1" applyBorder="1"/>
    <xf numFmtId="0" fontId="50" fillId="22" borderId="30" xfId="0" applyFont="1" applyFill="1" applyBorder="1"/>
    <xf numFmtId="1" fontId="50" fillId="22" borderId="30" xfId="7" applyNumberFormat="1" applyFont="1" applyFill="1" applyBorder="1"/>
    <xf numFmtId="168" fontId="50" fillId="22" borderId="30" xfId="7" applyFont="1" applyFill="1" applyBorder="1"/>
    <xf numFmtId="172" fontId="50" fillId="22" borderId="30" xfId="8" applyNumberFormat="1" applyFont="1" applyFill="1" applyBorder="1"/>
    <xf numFmtId="0" fontId="52" fillId="22" borderId="30" xfId="0" applyFont="1" applyFill="1" applyBorder="1"/>
    <xf numFmtId="0" fontId="50" fillId="0" borderId="30" xfId="0" applyFont="1" applyFill="1" applyBorder="1"/>
    <xf numFmtId="1" fontId="50" fillId="0" borderId="19" xfId="7" applyNumberFormat="1" applyFont="1" applyFill="1" applyBorder="1"/>
    <xf numFmtId="172" fontId="50" fillId="0" borderId="30" xfId="8" applyNumberFormat="1" applyFont="1" applyFill="1" applyBorder="1"/>
    <xf numFmtId="0" fontId="3" fillId="4" borderId="19" xfId="0" applyFont="1" applyFill="1" applyBorder="1" applyAlignment="1">
      <alignment horizontal="right"/>
    </xf>
    <xf numFmtId="172" fontId="3" fillId="4" borderId="19" xfId="8" applyNumberFormat="1" applyFont="1" applyFill="1" applyBorder="1"/>
    <xf numFmtId="0" fontId="50" fillId="4" borderId="19" xfId="0" applyFont="1" applyFill="1" applyBorder="1"/>
    <xf numFmtId="0" fontId="52" fillId="0" borderId="20" xfId="0" applyFont="1" applyBorder="1"/>
    <xf numFmtId="1" fontId="50" fillId="22" borderId="19" xfId="7" applyNumberFormat="1" applyFont="1" applyFill="1" applyBorder="1"/>
    <xf numFmtId="0" fontId="10" fillId="22" borderId="19" xfId="0" applyFont="1" applyFill="1" applyBorder="1"/>
    <xf numFmtId="0" fontId="50" fillId="22" borderId="19" xfId="0" applyFont="1" applyFill="1" applyBorder="1" applyAlignment="1">
      <alignment wrapText="1"/>
    </xf>
    <xf numFmtId="0" fontId="53" fillId="22" borderId="19" xfId="0" applyFont="1" applyFill="1" applyBorder="1"/>
    <xf numFmtId="0" fontId="50" fillId="22" borderId="19" xfId="0" applyFont="1" applyFill="1" applyBorder="1" applyAlignment="1">
      <alignment vertical="top" wrapText="1"/>
    </xf>
    <xf numFmtId="0" fontId="50" fillId="22" borderId="19" xfId="0" applyFont="1" applyFill="1" applyBorder="1" applyAlignment="1">
      <alignment vertical="center"/>
    </xf>
    <xf numFmtId="168" fontId="50" fillId="22" borderId="19" xfId="7" applyFont="1" applyFill="1" applyBorder="1" applyAlignment="1">
      <alignment vertical="center"/>
    </xf>
    <xf numFmtId="0" fontId="52" fillId="22" borderId="19" xfId="0" applyFont="1" applyFill="1" applyBorder="1" applyAlignment="1">
      <alignment wrapText="1"/>
    </xf>
    <xf numFmtId="0" fontId="50" fillId="22" borderId="19" xfId="0" applyFont="1" applyFill="1" applyBorder="1" applyAlignment="1">
      <alignment vertical="center" wrapText="1"/>
    </xf>
    <xf numFmtId="3" fontId="4" fillId="4" borderId="19" xfId="7" applyNumberFormat="1" applyFont="1" applyFill="1" applyBorder="1"/>
    <xf numFmtId="0" fontId="3" fillId="3" borderId="19" xfId="0" applyFont="1" applyFill="1" applyBorder="1"/>
    <xf numFmtId="0" fontId="50" fillId="3" borderId="19" xfId="0" applyFont="1" applyFill="1" applyBorder="1"/>
    <xf numFmtId="169" fontId="50" fillId="3" borderId="19" xfId="7" applyNumberFormat="1" applyFont="1" applyFill="1" applyBorder="1"/>
    <xf numFmtId="168" fontId="50" fillId="3" borderId="19" xfId="7" applyFont="1" applyFill="1" applyBorder="1"/>
    <xf numFmtId="0" fontId="53" fillId="3" borderId="19" xfId="0" applyFont="1" applyFill="1" applyBorder="1"/>
    <xf numFmtId="0" fontId="5" fillId="22" borderId="19" xfId="0" applyFont="1" applyFill="1" applyBorder="1"/>
    <xf numFmtId="0" fontId="54" fillId="22" borderId="19" xfId="0" applyFont="1" applyFill="1" applyBorder="1"/>
    <xf numFmtId="0" fontId="3" fillId="4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52" fillId="23" borderId="19" xfId="0" applyFont="1" applyFill="1" applyBorder="1"/>
    <xf numFmtId="0" fontId="51" fillId="22" borderId="19" xfId="0" applyFont="1" applyFill="1" applyBorder="1"/>
    <xf numFmtId="1" fontId="54" fillId="22" borderId="19" xfId="7" applyNumberFormat="1" applyFont="1" applyFill="1" applyBorder="1"/>
    <xf numFmtId="0" fontId="14" fillId="22" borderId="19" xfId="0" applyFont="1" applyFill="1" applyBorder="1"/>
    <xf numFmtId="168" fontId="54" fillId="22" borderId="19" xfId="7" applyFont="1" applyFill="1" applyBorder="1"/>
    <xf numFmtId="0" fontId="55" fillId="22" borderId="19" xfId="0" applyFont="1" applyFill="1" applyBorder="1"/>
    <xf numFmtId="0" fontId="3" fillId="5" borderId="16" xfId="0" applyFont="1" applyFill="1" applyBorder="1" applyAlignment="1">
      <alignment horizontal="right"/>
    </xf>
    <xf numFmtId="0" fontId="3" fillId="5" borderId="17" xfId="0" applyFont="1" applyFill="1" applyBorder="1" applyAlignment="1">
      <alignment horizontal="right"/>
    </xf>
    <xf numFmtId="168" fontId="3" fillId="5" borderId="21" xfId="7" applyFont="1" applyFill="1" applyBorder="1"/>
    <xf numFmtId="0" fontId="56" fillId="5" borderId="21" xfId="0" applyFont="1" applyFill="1" applyBorder="1"/>
    <xf numFmtId="0" fontId="25" fillId="24" borderId="7" xfId="0" applyFont="1" applyFill="1" applyBorder="1" applyAlignment="1">
      <alignment horizontal="center" vertical="center" wrapText="1"/>
    </xf>
    <xf numFmtId="0" fontId="11" fillId="24" borderId="3" xfId="0" applyFont="1" applyFill="1" applyBorder="1"/>
    <xf numFmtId="3" fontId="25" fillId="24" borderId="3" xfId="0" applyNumberFormat="1" applyFont="1" applyFill="1" applyBorder="1"/>
    <xf numFmtId="3" fontId="11" fillId="24" borderId="3" xfId="0" applyNumberFormat="1" applyFont="1" applyFill="1" applyBorder="1"/>
    <xf numFmtId="3" fontId="34" fillId="24" borderId="3" xfId="0" applyNumberFormat="1" applyFont="1" applyFill="1" applyBorder="1"/>
    <xf numFmtId="3" fontId="11" fillId="24" borderId="5" xfId="0" applyNumberFormat="1" applyFont="1" applyFill="1" applyBorder="1"/>
    <xf numFmtId="0" fontId="57" fillId="0" borderId="32" xfId="0" applyFont="1" applyBorder="1" applyAlignment="1">
      <alignment vertical="top" wrapText="1"/>
    </xf>
    <xf numFmtId="0" fontId="58" fillId="0" borderId="32" xfId="0" applyFont="1" applyFill="1" applyBorder="1" applyAlignment="1">
      <alignment vertical="top" wrapText="1"/>
    </xf>
    <xf numFmtId="3" fontId="58" fillId="0" borderId="32" xfId="0" applyNumberFormat="1" applyFont="1" applyFill="1" applyBorder="1" applyAlignment="1">
      <alignment vertical="top" wrapText="1"/>
    </xf>
    <xf numFmtId="0" fontId="61" fillId="0" borderId="2" xfId="0" applyFont="1" applyBorder="1"/>
    <xf numFmtId="0" fontId="61" fillId="0" borderId="3" xfId="0" applyFont="1" applyBorder="1"/>
    <xf numFmtId="3" fontId="62" fillId="0" borderId="3" xfId="0" applyNumberFormat="1" applyFont="1" applyBorder="1"/>
    <xf numFmtId="3" fontId="62" fillId="24" borderId="3" xfId="0" applyNumberFormat="1" applyFont="1" applyFill="1" applyBorder="1"/>
    <xf numFmtId="0" fontId="58" fillId="0" borderId="32" xfId="0" applyFont="1" applyBorder="1" applyAlignment="1">
      <alignment vertical="top" wrapText="1"/>
    </xf>
    <xf numFmtId="3" fontId="61" fillId="0" borderId="3" xfId="0" applyNumberFormat="1" applyFont="1" applyBorder="1"/>
    <xf numFmtId="3" fontId="61" fillId="24" borderId="3" xfId="0" applyNumberFormat="1" applyFont="1" applyFill="1" applyBorder="1"/>
    <xf numFmtId="3" fontId="5" fillId="0" borderId="11" xfId="2" applyNumberFormat="1" applyFont="1" applyFill="1" applyBorder="1" applyAlignment="1">
      <alignment horizontal="right"/>
    </xf>
    <xf numFmtId="3" fontId="5" fillId="0" borderId="14" xfId="2" applyNumberFormat="1" applyFont="1" applyFill="1" applyBorder="1" applyAlignment="1">
      <alignment horizontal="right" vertical="center"/>
    </xf>
    <xf numFmtId="3" fontId="5" fillId="0" borderId="47" xfId="2" applyNumberFormat="1" applyFont="1" applyFill="1" applyBorder="1" applyAlignment="1">
      <alignment horizontal="left"/>
    </xf>
    <xf numFmtId="3" fontId="4" fillId="3" borderId="58" xfId="2" applyNumberFormat="1" applyFont="1" applyFill="1" applyBorder="1" applyAlignment="1">
      <alignment horizontal="left"/>
    </xf>
    <xf numFmtId="3" fontId="5" fillId="0" borderId="47" xfId="2" applyNumberFormat="1" applyFont="1" applyFill="1" applyBorder="1" applyAlignment="1">
      <alignment horizontal="left" vertical="center"/>
    </xf>
    <xf numFmtId="3" fontId="5" fillId="0" borderId="47" xfId="2" applyNumberFormat="1" applyFont="1" applyFill="1" applyBorder="1" applyAlignment="1">
      <alignment horizontal="left" vertical="center" wrapText="1"/>
    </xf>
    <xf numFmtId="3" fontId="5" fillId="24" borderId="20" xfId="2" applyNumberFormat="1" applyFont="1" applyFill="1" applyBorder="1" applyAlignment="1">
      <alignment horizontal="right"/>
    </xf>
    <xf numFmtId="3" fontId="5" fillId="24" borderId="20" xfId="2" applyNumberFormat="1" applyFont="1" applyFill="1" applyBorder="1" applyAlignment="1">
      <alignment horizontal="right" vertical="center"/>
    </xf>
    <xf numFmtId="3" fontId="9" fillId="2" borderId="64" xfId="2" applyNumberFormat="1" applyFont="1" applyFill="1" applyBorder="1" applyAlignment="1">
      <alignment horizontal="right"/>
    </xf>
    <xf numFmtId="3" fontId="5" fillId="0" borderId="12" xfId="2" applyNumberFormat="1" applyFont="1" applyBorder="1" applyAlignment="1">
      <alignment horizontal="right" vertical="center"/>
    </xf>
    <xf numFmtId="4" fontId="5" fillId="0" borderId="12" xfId="2" applyNumberFormat="1" applyFont="1" applyBorder="1" applyAlignment="1">
      <alignment horizontal="right" vertical="center"/>
    </xf>
    <xf numFmtId="0" fontId="0" fillId="0" borderId="30" xfId="0" applyBorder="1"/>
    <xf numFmtId="0" fontId="0" fillId="0" borderId="21" xfId="0" applyBorder="1"/>
    <xf numFmtId="3" fontId="4" fillId="24" borderId="19" xfId="2" applyNumberFormat="1" applyFont="1" applyFill="1" applyBorder="1" applyAlignment="1" applyProtection="1">
      <alignment horizontal="center" vertical="center" wrapText="1"/>
    </xf>
    <xf numFmtId="0" fontId="0" fillId="24" borderId="13" xfId="0" applyFill="1" applyBorder="1"/>
    <xf numFmtId="0" fontId="0" fillId="24" borderId="18" xfId="0" applyFill="1" applyBorder="1"/>
    <xf numFmtId="3" fontId="4" fillId="24" borderId="19" xfId="2" applyNumberFormat="1" applyFont="1" applyFill="1" applyBorder="1" applyAlignment="1">
      <alignment horizontal="right" vertical="center"/>
    </xf>
    <xf numFmtId="0" fontId="0" fillId="0" borderId="0" xfId="0" quotePrefix="1" applyBorder="1"/>
    <xf numFmtId="3" fontId="9" fillId="2" borderId="60" xfId="2" applyNumberFormat="1" applyFont="1" applyFill="1" applyBorder="1" applyAlignment="1">
      <alignment horizontal="left"/>
    </xf>
    <xf numFmtId="167" fontId="2" fillId="8" borderId="44" xfId="5" applyNumberFormat="1" applyFont="1" applyFill="1" applyBorder="1" applyAlignment="1">
      <alignment horizontal="center"/>
    </xf>
    <xf numFmtId="167" fontId="2" fillId="8" borderId="19" xfId="5" applyNumberFormat="1" applyFont="1" applyFill="1" applyBorder="1" applyAlignment="1">
      <alignment horizontal="center"/>
    </xf>
    <xf numFmtId="167" fontId="2" fillId="8" borderId="9" xfId="5" applyNumberFormat="1" applyFont="1" applyFill="1" applyBorder="1" applyAlignment="1">
      <alignment horizontal="center"/>
    </xf>
    <xf numFmtId="167" fontId="2" fillId="8" borderId="45" xfId="5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167" fontId="19" fillId="0" borderId="0" xfId="5" applyNumberFormat="1" applyFont="1" applyFill="1" applyBorder="1"/>
    <xf numFmtId="167" fontId="0" fillId="0" borderId="15" xfId="5" applyNumberFormat="1" applyFont="1" applyFill="1" applyBorder="1"/>
    <xf numFmtId="167" fontId="2" fillId="0" borderId="14" xfId="5" applyNumberFormat="1" applyFont="1" applyFill="1" applyBorder="1"/>
    <xf numFmtId="167" fontId="0" fillId="0" borderId="0" xfId="5" quotePrefix="1" applyNumberFormat="1" applyFont="1" applyBorder="1"/>
    <xf numFmtId="0" fontId="0" fillId="18" borderId="14" xfId="0" applyFill="1" applyBorder="1"/>
    <xf numFmtId="167" fontId="2" fillId="18" borderId="0" xfId="5" applyNumberFormat="1" applyFont="1" applyFill="1" applyBorder="1"/>
    <xf numFmtId="167" fontId="2" fillId="18" borderId="15" xfId="5" applyNumberFormat="1" applyFont="1" applyFill="1" applyBorder="1"/>
    <xf numFmtId="167" fontId="0" fillId="18" borderId="0" xfId="5" applyNumberFormat="1" applyFont="1" applyFill="1" applyBorder="1"/>
    <xf numFmtId="167" fontId="0" fillId="18" borderId="15" xfId="5" applyNumberFormat="1" applyFont="1" applyFill="1" applyBorder="1"/>
    <xf numFmtId="167" fontId="2" fillId="18" borderId="14" xfId="5" applyNumberFormat="1" applyFont="1" applyFill="1" applyBorder="1"/>
    <xf numFmtId="3" fontId="15" fillId="2" borderId="24" xfId="2" applyNumberFormat="1" applyFont="1" applyFill="1" applyBorder="1" applyAlignment="1">
      <alignment horizontal="center" vertical="center" wrapText="1"/>
    </xf>
    <xf numFmtId="3" fontId="4" fillId="2" borderId="22" xfId="2" applyNumberFormat="1" applyFont="1" applyFill="1" applyBorder="1" applyAlignment="1">
      <alignment horizontal="center" vertical="center"/>
    </xf>
    <xf numFmtId="3" fontId="15" fillId="9" borderId="24" xfId="2" applyNumberFormat="1" applyFont="1" applyFill="1" applyBorder="1" applyAlignment="1">
      <alignment horizontal="center" vertical="center" wrapText="1"/>
    </xf>
    <xf numFmtId="3" fontId="14" fillId="0" borderId="2" xfId="2" applyNumberFormat="1" applyFont="1" applyBorder="1" applyAlignment="1">
      <alignment horizontal="left"/>
    </xf>
    <xf numFmtId="0" fontId="0" fillId="0" borderId="3" xfId="0" applyBorder="1"/>
    <xf numFmtId="3" fontId="14" fillId="2" borderId="58" xfId="2" applyNumberFormat="1" applyFont="1" applyFill="1" applyBorder="1" applyAlignment="1">
      <alignment horizontal="center" vertical="center"/>
    </xf>
    <xf numFmtId="3" fontId="66" fillId="0" borderId="47" xfId="2" quotePrefix="1" applyNumberFormat="1" applyFont="1" applyBorder="1" applyAlignment="1">
      <alignment horizontal="left"/>
    </xf>
    <xf numFmtId="3" fontId="5" fillId="0" borderId="47" xfId="2" applyNumberFormat="1" applyFont="1" applyBorder="1" applyAlignment="1">
      <alignment horizontal="left"/>
    </xf>
    <xf numFmtId="3" fontId="9" fillId="2" borderId="61" xfId="2" applyNumberFormat="1" applyFont="1" applyFill="1" applyBorder="1" applyAlignment="1">
      <alignment horizontal="right"/>
    </xf>
    <xf numFmtId="3" fontId="5" fillId="3" borderId="58" xfId="2" applyNumberFormat="1" applyFont="1" applyFill="1" applyBorder="1" applyAlignment="1">
      <alignment horizontal="left"/>
    </xf>
    <xf numFmtId="3" fontId="5" fillId="3" borderId="49" xfId="2" applyNumberFormat="1" applyFont="1" applyFill="1" applyBorder="1" applyAlignment="1">
      <alignment horizontal="right" vertical="center"/>
    </xf>
    <xf numFmtId="3" fontId="9" fillId="9" borderId="64" xfId="2" applyNumberFormat="1" applyFont="1" applyFill="1" applyBorder="1" applyAlignment="1">
      <alignment horizontal="right"/>
    </xf>
    <xf numFmtId="0" fontId="0" fillId="0" borderId="67" xfId="0" applyBorder="1"/>
    <xf numFmtId="0" fontId="0" fillId="0" borderId="52" xfId="0" applyBorder="1"/>
    <xf numFmtId="0" fontId="0" fillId="0" borderId="68" xfId="0" applyBorder="1"/>
    <xf numFmtId="0" fontId="0" fillId="0" borderId="44" xfId="0" applyBorder="1"/>
    <xf numFmtId="0" fontId="0" fillId="0" borderId="9" xfId="0" applyBorder="1"/>
    <xf numFmtId="3" fontId="67" fillId="2" borderId="63" xfId="2" applyNumberFormat="1" applyFont="1" applyFill="1" applyBorder="1" applyAlignment="1">
      <alignment horizontal="right"/>
    </xf>
    <xf numFmtId="3" fontId="2" fillId="0" borderId="67" xfId="0" applyNumberFormat="1" applyFont="1" applyBorder="1"/>
    <xf numFmtId="0" fontId="0" fillId="0" borderId="4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3" fontId="2" fillId="27" borderId="67" xfId="0" applyNumberFormat="1" applyFont="1" applyFill="1" applyBorder="1"/>
    <xf numFmtId="3" fontId="2" fillId="27" borderId="45" xfId="0" applyNumberFormat="1" applyFont="1" applyFill="1" applyBorder="1"/>
    <xf numFmtId="3" fontId="2" fillId="0" borderId="67" xfId="0" applyNumberFormat="1" applyFont="1" applyFill="1" applyBorder="1"/>
    <xf numFmtId="3" fontId="5" fillId="18" borderId="50" xfId="2" applyNumberFormat="1" applyFont="1" applyFill="1" applyBorder="1" applyAlignment="1">
      <alignment horizontal="right" vertical="center"/>
    </xf>
    <xf numFmtId="3" fontId="15" fillId="29" borderId="59" xfId="2" applyNumberFormat="1" applyFont="1" applyFill="1" applyBorder="1" applyAlignment="1">
      <alignment horizontal="center" vertical="center" wrapText="1"/>
    </xf>
    <xf numFmtId="3" fontId="9" fillId="29" borderId="65" xfId="2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3" fontId="11" fillId="0" borderId="0" xfId="0" applyNumberFormat="1" applyFont="1"/>
    <xf numFmtId="0" fontId="25" fillId="0" borderId="0" xfId="0" applyFont="1" applyAlignment="1">
      <alignment horizontal="center"/>
    </xf>
    <xf numFmtId="0" fontId="25" fillId="27" borderId="0" xfId="0" applyFont="1" applyFill="1" applyAlignment="1">
      <alignment horizontal="center"/>
    </xf>
    <xf numFmtId="0" fontId="25" fillId="30" borderId="0" xfId="0" applyFont="1" applyFill="1" applyAlignment="1">
      <alignment horizontal="center"/>
    </xf>
    <xf numFmtId="0" fontId="25" fillId="27" borderId="0" xfId="5" applyNumberFormat="1" applyFont="1" applyFill="1" applyAlignment="1">
      <alignment horizontal="center" vertical="center"/>
    </xf>
    <xf numFmtId="3" fontId="29" fillId="0" borderId="0" xfId="0" applyNumberFormat="1" applyFont="1"/>
    <xf numFmtId="0" fontId="11" fillId="0" borderId="0" xfId="0" applyFont="1" applyFill="1" applyAlignment="1">
      <alignment horizontal="center"/>
    </xf>
    <xf numFmtId="3" fontId="5" fillId="0" borderId="2" xfId="2" applyNumberFormat="1" applyFont="1" applyBorder="1" applyAlignment="1">
      <alignment horizontal="left"/>
    </xf>
    <xf numFmtId="3" fontId="5" fillId="0" borderId="3" xfId="2" applyNumberFormat="1" applyFont="1" applyBorder="1" applyAlignment="1">
      <alignment horizontal="right"/>
    </xf>
    <xf numFmtId="3" fontId="4" fillId="2" borderId="58" xfId="2" applyNumberFormat="1" applyFont="1" applyFill="1" applyBorder="1" applyAlignment="1">
      <alignment horizontal="center" vertical="center" wrapText="1"/>
    </xf>
    <xf numFmtId="3" fontId="5" fillId="0" borderId="67" xfId="2" applyNumberFormat="1" applyFont="1" applyBorder="1" applyAlignment="1">
      <alignment horizontal="right" vertical="center"/>
    </xf>
    <xf numFmtId="3" fontId="5" fillId="0" borderId="3" xfId="2" applyNumberFormat="1" applyFont="1" applyFill="1" applyBorder="1" applyAlignment="1">
      <alignment vertical="center"/>
    </xf>
    <xf numFmtId="3" fontId="5" fillId="0" borderId="47" xfId="2" applyNumberFormat="1" applyFont="1" applyBorder="1" applyAlignment="1">
      <alignment horizontal="left" vertical="center"/>
    </xf>
    <xf numFmtId="3" fontId="5" fillId="0" borderId="47" xfId="2" applyNumberFormat="1" applyFont="1" applyBorder="1" applyAlignment="1">
      <alignment horizontal="left" vertical="center" wrapText="1"/>
    </xf>
    <xf numFmtId="3" fontId="9" fillId="2" borderId="69" xfId="2" applyNumberFormat="1" applyFont="1" applyFill="1" applyBorder="1" applyAlignment="1">
      <alignment horizontal="left"/>
    </xf>
    <xf numFmtId="3" fontId="9" fillId="2" borderId="71" xfId="2" applyNumberFormat="1" applyFont="1" applyFill="1" applyBorder="1" applyAlignment="1">
      <alignment horizontal="right"/>
    </xf>
    <xf numFmtId="3" fontId="9" fillId="2" borderId="72" xfId="2" applyNumberFormat="1" applyFont="1" applyFill="1" applyBorder="1" applyAlignment="1">
      <alignment horizontal="right"/>
    </xf>
    <xf numFmtId="3" fontId="9" fillId="2" borderId="73" xfId="2" applyNumberFormat="1" applyFont="1" applyFill="1" applyBorder="1" applyAlignment="1">
      <alignment horizontal="right"/>
    </xf>
    <xf numFmtId="3" fontId="9" fillId="9" borderId="10" xfId="2" applyNumberFormat="1" applyFont="1" applyFill="1" applyBorder="1" applyAlignment="1">
      <alignment horizontal="center" vertical="center" wrapText="1"/>
    </xf>
    <xf numFmtId="0" fontId="0" fillId="0" borderId="74" xfId="0" applyBorder="1"/>
    <xf numFmtId="0" fontId="0" fillId="0" borderId="50" xfId="0" applyBorder="1"/>
    <xf numFmtId="3" fontId="0" fillId="27" borderId="49" xfId="0" applyNumberFormat="1" applyFill="1" applyBorder="1"/>
    <xf numFmtId="3" fontId="41" fillId="26" borderId="65" xfId="0" applyNumberFormat="1" applyFont="1" applyFill="1" applyBorder="1"/>
    <xf numFmtId="1" fontId="25" fillId="27" borderId="0" xfId="5" applyNumberFormat="1" applyFont="1" applyFill="1" applyAlignment="1">
      <alignment horizontal="center" vertical="center"/>
    </xf>
    <xf numFmtId="3" fontId="5" fillId="0" borderId="50" xfId="2" applyNumberFormat="1" applyFont="1" applyFill="1" applyBorder="1" applyAlignment="1">
      <alignment horizontal="right"/>
    </xf>
    <xf numFmtId="3" fontId="5" fillId="0" borderId="35" xfId="2" applyNumberFormat="1" applyFont="1" applyBorder="1" applyAlignment="1">
      <alignment horizontal="center" vertical="center"/>
    </xf>
    <xf numFmtId="0" fontId="0" fillId="0" borderId="34" xfId="0" applyBorder="1"/>
    <xf numFmtId="3" fontId="4" fillId="25" borderId="56" xfId="2" applyNumberFormat="1" applyFont="1" applyFill="1" applyBorder="1" applyAlignment="1">
      <alignment horizontal="center" vertical="center"/>
    </xf>
    <xf numFmtId="3" fontId="4" fillId="25" borderId="56" xfId="2" applyNumberFormat="1" applyFont="1" applyFill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right"/>
    </xf>
    <xf numFmtId="3" fontId="4" fillId="25" borderId="57" xfId="2" applyNumberFormat="1" applyFont="1" applyFill="1" applyBorder="1" applyAlignment="1">
      <alignment horizontal="center" vertical="center" wrapText="1"/>
    </xf>
    <xf numFmtId="3" fontId="4" fillId="0" borderId="50" xfId="2" applyNumberFormat="1" applyFont="1" applyFill="1" applyBorder="1"/>
    <xf numFmtId="3" fontId="5" fillId="0" borderId="53" xfId="2" applyNumberFormat="1" applyFont="1" applyFill="1" applyBorder="1" applyAlignment="1">
      <alignment horizontal="right"/>
    </xf>
    <xf numFmtId="3" fontId="9" fillId="25" borderId="65" xfId="2" applyNumberFormat="1" applyFont="1" applyFill="1" applyBorder="1" applyAlignment="1">
      <alignment horizontal="right"/>
    </xf>
    <xf numFmtId="3" fontId="5" fillId="3" borderId="10" xfId="2" applyNumberFormat="1" applyFont="1" applyFill="1" applyBorder="1"/>
    <xf numFmtId="0" fontId="0" fillId="18" borderId="44" xfId="0" applyFill="1" applyBorder="1"/>
    <xf numFmtId="3" fontId="9" fillId="2" borderId="58" xfId="2" applyNumberFormat="1" applyFont="1" applyFill="1" applyBorder="1" applyAlignment="1">
      <alignment horizontal="center" vertical="center"/>
    </xf>
    <xf numFmtId="3" fontId="4" fillId="2" borderId="45" xfId="2" applyNumberFormat="1" applyFont="1" applyFill="1" applyBorder="1" applyAlignment="1">
      <alignment horizontal="center" vertical="center" wrapText="1"/>
    </xf>
    <xf numFmtId="3" fontId="4" fillId="3" borderId="58" xfId="2" applyNumberFormat="1" applyFont="1" applyFill="1" applyBorder="1" applyAlignment="1">
      <alignment horizontal="left" vertical="center" wrapText="1"/>
    </xf>
    <xf numFmtId="3" fontId="4" fillId="3" borderId="49" xfId="2" applyNumberFormat="1" applyFont="1" applyFill="1" applyBorder="1" applyAlignment="1">
      <alignment horizontal="right" vertical="center"/>
    </xf>
    <xf numFmtId="3" fontId="5" fillId="0" borderId="46" xfId="2" applyNumberFormat="1" applyFont="1" applyBorder="1" applyAlignment="1">
      <alignment horizontal="left" vertical="center" wrapText="1"/>
    </xf>
    <xf numFmtId="0" fontId="11" fillId="0" borderId="76" xfId="0" applyFont="1" applyBorder="1"/>
    <xf numFmtId="3" fontId="17" fillId="2" borderId="61" xfId="2" applyNumberFormat="1" applyFont="1" applyFill="1" applyBorder="1" applyAlignment="1">
      <alignment horizontal="right"/>
    </xf>
    <xf numFmtId="3" fontId="17" fillId="2" borderId="61" xfId="2" applyNumberFormat="1" applyFont="1" applyFill="1" applyBorder="1" applyAlignment="1">
      <alignment horizontal="right" vertical="center"/>
    </xf>
    <xf numFmtId="4" fontId="17" fillId="2" borderId="62" xfId="2" applyNumberFormat="1" applyFont="1" applyFill="1" applyBorder="1" applyAlignment="1">
      <alignment horizontal="right" vertical="center"/>
    </xf>
    <xf numFmtId="3" fontId="9" fillId="2" borderId="64" xfId="2" applyNumberFormat="1" applyFont="1" applyFill="1" applyBorder="1" applyAlignment="1">
      <alignment horizontal="right" vertical="center"/>
    </xf>
    <xf numFmtId="3" fontId="9" fillId="2" borderId="65" xfId="2" applyNumberFormat="1" applyFont="1" applyFill="1" applyBorder="1" applyAlignment="1">
      <alignment horizontal="right" vertical="center"/>
    </xf>
    <xf numFmtId="3" fontId="5" fillId="0" borderId="2" xfId="2" applyNumberFormat="1" applyFont="1" applyBorder="1" applyAlignment="1">
      <alignment horizontal="left" wrapText="1"/>
    </xf>
    <xf numFmtId="3" fontId="5" fillId="0" borderId="47" xfId="2" applyNumberFormat="1" applyFont="1" applyBorder="1" applyAlignment="1">
      <alignment horizontal="left" wrapText="1"/>
    </xf>
    <xf numFmtId="0" fontId="0" fillId="0" borderId="49" xfId="0" applyBorder="1"/>
    <xf numFmtId="3" fontId="41" fillId="12" borderId="51" xfId="0" applyNumberFormat="1" applyFont="1" applyFill="1" applyBorder="1"/>
    <xf numFmtId="0" fontId="25" fillId="27" borderId="0" xfId="0" applyFont="1" applyFill="1"/>
    <xf numFmtId="0" fontId="18" fillId="0" borderId="2" xfId="3" applyFont="1" applyFill="1" applyBorder="1"/>
    <xf numFmtId="3" fontId="5" fillId="0" borderId="3" xfId="3" applyNumberFormat="1" applyFont="1" applyFill="1" applyBorder="1"/>
    <xf numFmtId="3" fontId="4" fillId="6" borderId="59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3" fontId="5" fillId="0" borderId="77" xfId="3" applyNumberFormat="1" applyFont="1" applyFill="1" applyBorder="1" applyAlignment="1">
      <alignment vertical="center"/>
    </xf>
    <xf numFmtId="49" fontId="5" fillId="0" borderId="2" xfId="3" applyNumberFormat="1" applyFont="1" applyFill="1" applyBorder="1" applyAlignment="1">
      <alignment horizontal="center"/>
    </xf>
    <xf numFmtId="3" fontId="5" fillId="0" borderId="78" xfId="3" applyNumberFormat="1" applyFont="1" applyFill="1" applyBorder="1" applyAlignment="1">
      <alignment vertical="center"/>
    </xf>
    <xf numFmtId="0" fontId="18" fillId="2" borderId="60" xfId="3" applyFont="1" applyFill="1" applyBorder="1"/>
    <xf numFmtId="0" fontId="18" fillId="2" borderId="61" xfId="3" applyFont="1" applyFill="1" applyBorder="1"/>
    <xf numFmtId="0" fontId="9" fillId="2" borderId="62" xfId="3" applyFont="1" applyFill="1" applyBorder="1"/>
    <xf numFmtId="3" fontId="4" fillId="2" borderId="71" xfId="3" applyNumberFormat="1" applyFont="1" applyFill="1" applyBorder="1"/>
    <xf numFmtId="3" fontId="4" fillId="2" borderId="72" xfId="3" applyNumberFormat="1" applyFont="1" applyFill="1" applyBorder="1"/>
    <xf numFmtId="3" fontId="4" fillId="2" borderId="79" xfId="3" applyNumberFormat="1" applyFont="1" applyFill="1" applyBorder="1"/>
    <xf numFmtId="3" fontId="5" fillId="0" borderId="26" xfId="3" quotePrefix="1" applyNumberFormat="1" applyFont="1" applyFill="1" applyBorder="1" applyAlignment="1">
      <alignment horizontal="center" vertical="center"/>
    </xf>
    <xf numFmtId="3" fontId="4" fillId="4" borderId="49" xfId="2" applyNumberFormat="1" applyFont="1" applyFill="1" applyBorder="1" applyAlignment="1" applyProtection="1">
      <alignment horizontal="center" vertical="center" wrapText="1"/>
    </xf>
    <xf numFmtId="3" fontId="5" fillId="0" borderId="50" xfId="2" applyNumberFormat="1" applyFont="1" applyFill="1" applyBorder="1" applyAlignment="1">
      <alignment horizontal="right" vertical="center"/>
    </xf>
    <xf numFmtId="3" fontId="4" fillId="3" borderId="49" xfId="2" applyNumberFormat="1" applyFont="1" applyFill="1" applyBorder="1" applyAlignment="1">
      <alignment horizontal="right"/>
    </xf>
    <xf numFmtId="3" fontId="4" fillId="3" borderId="59" xfId="2" applyNumberFormat="1" applyFont="1" applyFill="1" applyBorder="1" applyAlignment="1">
      <alignment horizontal="right"/>
    </xf>
    <xf numFmtId="3" fontId="9" fillId="2" borderId="62" xfId="2" applyNumberFormat="1" applyFont="1" applyFill="1" applyBorder="1" applyAlignment="1">
      <alignment horizontal="right"/>
    </xf>
    <xf numFmtId="3" fontId="9" fillId="2" borderId="63" xfId="2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17" xfId="0" applyFont="1" applyFill="1" applyBorder="1" applyAlignment="1">
      <alignment horizontal="left"/>
    </xf>
    <xf numFmtId="0" fontId="41" fillId="9" borderId="43" xfId="0" applyFont="1" applyFill="1" applyBorder="1" applyAlignment="1">
      <alignment horizontal="center" vertical="center"/>
    </xf>
    <xf numFmtId="0" fontId="41" fillId="9" borderId="39" xfId="0" applyFont="1" applyFill="1" applyBorder="1" applyAlignment="1">
      <alignment horizontal="center" vertical="center"/>
    </xf>
    <xf numFmtId="0" fontId="41" fillId="9" borderId="3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left" vertical="top" wrapText="1"/>
    </xf>
    <xf numFmtId="0" fontId="68" fillId="8" borderId="43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8" fillId="13" borderId="30" xfId="0" applyFont="1" applyFill="1" applyBorder="1" applyAlignment="1">
      <alignment horizontal="center" vertical="center" wrapText="1"/>
    </xf>
    <xf numFmtId="0" fontId="28" fillId="13" borderId="20" xfId="0" applyFont="1" applyFill="1" applyBorder="1" applyAlignment="1">
      <alignment horizontal="center" vertical="center" wrapText="1"/>
    </xf>
    <xf numFmtId="0" fontId="28" fillId="13" borderId="21" xfId="0" applyFont="1" applyFill="1" applyBorder="1" applyAlignment="1">
      <alignment horizontal="center" vertical="center" wrapText="1"/>
    </xf>
    <xf numFmtId="0" fontId="28" fillId="11" borderId="30" xfId="0" applyFont="1" applyFill="1" applyBorder="1" applyAlignment="1">
      <alignment horizontal="center" vertical="center" wrapText="1"/>
    </xf>
    <xf numFmtId="0" fontId="28" fillId="11" borderId="20" xfId="0" applyFont="1" applyFill="1" applyBorder="1" applyAlignment="1">
      <alignment horizontal="center" vertical="center" wrapText="1"/>
    </xf>
    <xf numFmtId="0" fontId="28" fillId="11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18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23" fillId="10" borderId="12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0" fontId="25" fillId="28" borderId="0" xfId="0" applyFont="1" applyFill="1" applyAlignment="1">
      <alignment horizontal="center"/>
    </xf>
    <xf numFmtId="3" fontId="4" fillId="3" borderId="44" xfId="2" applyNumberFormat="1" applyFont="1" applyFill="1" applyBorder="1" applyAlignment="1">
      <alignment horizontal="left"/>
    </xf>
    <xf numFmtId="3" fontId="4" fillId="3" borderId="9" xfId="2" applyNumberFormat="1" applyFont="1" applyFill="1" applyBorder="1" applyAlignment="1">
      <alignment horizontal="left"/>
    </xf>
    <xf numFmtId="3" fontId="4" fillId="3" borderId="10" xfId="2" applyNumberFormat="1" applyFont="1" applyFill="1" applyBorder="1" applyAlignment="1">
      <alignment horizontal="left"/>
    </xf>
    <xf numFmtId="3" fontId="63" fillId="24" borderId="34" xfId="2" applyNumberFormat="1" applyFont="1" applyFill="1" applyBorder="1" applyAlignment="1">
      <alignment horizontal="center"/>
    </xf>
    <xf numFmtId="3" fontId="63" fillId="24" borderId="35" xfId="2" applyNumberFormat="1" applyFont="1" applyFill="1" applyBorder="1" applyAlignment="1">
      <alignment horizontal="center"/>
    </xf>
    <xf numFmtId="3" fontId="63" fillId="24" borderId="36" xfId="2" applyNumberFormat="1" applyFont="1" applyFill="1" applyBorder="1" applyAlignment="1">
      <alignment horizontal="center"/>
    </xf>
    <xf numFmtId="0" fontId="0" fillId="27" borderId="44" xfId="0" applyFill="1" applyBorder="1" applyAlignment="1">
      <alignment horizontal="left"/>
    </xf>
    <xf numFmtId="0" fontId="0" fillId="27" borderId="9" xfId="0" applyFill="1" applyBorder="1" applyAlignment="1">
      <alignment horizontal="left"/>
    </xf>
    <xf numFmtId="0" fontId="0" fillId="27" borderId="10" xfId="0" applyFill="1" applyBorder="1" applyAlignment="1">
      <alignment horizontal="left"/>
    </xf>
    <xf numFmtId="3" fontId="67" fillId="2" borderId="60" xfId="2" applyNumberFormat="1" applyFont="1" applyFill="1" applyBorder="1" applyAlignment="1">
      <alignment horizontal="left"/>
    </xf>
    <xf numFmtId="3" fontId="67" fillId="2" borderId="61" xfId="2" applyNumberFormat="1" applyFont="1" applyFill="1" applyBorder="1" applyAlignment="1">
      <alignment horizontal="left"/>
    </xf>
    <xf numFmtId="3" fontId="67" fillId="2" borderId="62" xfId="2" applyNumberFormat="1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9" fillId="2" borderId="40" xfId="2" applyNumberFormat="1" applyFont="1" applyFill="1" applyBorder="1" applyAlignment="1">
      <alignment horizontal="center"/>
    </xf>
    <xf numFmtId="3" fontId="9" fillId="2" borderId="5" xfId="2" applyNumberFormat="1" applyFont="1" applyFill="1" applyBorder="1" applyAlignment="1">
      <alignment horizontal="center"/>
    </xf>
    <xf numFmtId="3" fontId="60" fillId="0" borderId="14" xfId="2" applyNumberFormat="1" applyFont="1" applyFill="1" applyBorder="1" applyAlignment="1">
      <alignment horizontal="center" vertical="center"/>
    </xf>
    <xf numFmtId="3" fontId="60" fillId="0" borderId="3" xfId="2" applyNumberFormat="1" applyFont="1" applyFill="1" applyBorder="1" applyAlignment="1">
      <alignment horizontal="center" vertical="center"/>
    </xf>
    <xf numFmtId="3" fontId="60" fillId="0" borderId="14" xfId="2" applyNumberFormat="1" applyFont="1" applyBorder="1" applyAlignment="1">
      <alignment horizontal="center" vertical="center"/>
    </xf>
    <xf numFmtId="3" fontId="60" fillId="0" borderId="3" xfId="2" applyNumberFormat="1" applyFont="1" applyBorder="1" applyAlignment="1">
      <alignment horizontal="center" vertical="center"/>
    </xf>
    <xf numFmtId="3" fontId="4" fillId="3" borderId="8" xfId="2" applyNumberFormat="1" applyFont="1" applyFill="1" applyBorder="1" applyAlignment="1">
      <alignment horizontal="center" vertical="center"/>
    </xf>
    <xf numFmtId="3" fontId="4" fillId="3" borderId="45" xfId="2" applyNumberFormat="1" applyFont="1" applyFill="1" applyBorder="1" applyAlignment="1">
      <alignment horizontal="center" vertical="center"/>
    </xf>
    <xf numFmtId="3" fontId="4" fillId="4" borderId="8" xfId="2" applyNumberFormat="1" applyFont="1" applyFill="1" applyBorder="1" applyAlignment="1" applyProtection="1">
      <alignment horizontal="center" vertical="center" wrapText="1"/>
    </xf>
    <xf numFmtId="3" fontId="4" fillId="4" borderId="45" xfId="2" applyNumberFormat="1" applyFont="1" applyFill="1" applyBorder="1" applyAlignment="1" applyProtection="1">
      <alignment horizontal="center" vertical="center" wrapText="1"/>
    </xf>
    <xf numFmtId="3" fontId="59" fillId="0" borderId="14" xfId="2" applyNumberFormat="1" applyFont="1" applyBorder="1" applyAlignment="1">
      <alignment horizontal="left" vertical="center"/>
    </xf>
    <xf numFmtId="3" fontId="59" fillId="0" borderId="3" xfId="2" applyNumberFormat="1" applyFont="1" applyBorder="1" applyAlignment="1">
      <alignment horizontal="left" vertical="center"/>
    </xf>
    <xf numFmtId="3" fontId="60" fillId="0" borderId="14" xfId="2" quotePrefix="1" applyNumberFormat="1" applyFont="1" applyBorder="1" applyAlignment="1">
      <alignment horizontal="center" vertical="center"/>
    </xf>
    <xf numFmtId="3" fontId="60" fillId="0" borderId="3" xfId="2" quotePrefix="1" applyNumberFormat="1" applyFont="1" applyBorder="1" applyAlignment="1">
      <alignment horizontal="center" vertical="center"/>
    </xf>
    <xf numFmtId="0" fontId="41" fillId="26" borderId="60" xfId="0" applyFont="1" applyFill="1" applyBorder="1" applyAlignment="1">
      <alignment horizontal="left"/>
    </xf>
    <xf numFmtId="0" fontId="41" fillId="26" borderId="61" xfId="0" applyFont="1" applyFill="1" applyBorder="1" applyAlignment="1">
      <alignment horizontal="left"/>
    </xf>
    <xf numFmtId="3" fontId="63" fillId="24" borderId="43" xfId="2" applyNumberFormat="1" applyFont="1" applyFill="1" applyBorder="1" applyAlignment="1">
      <alignment horizontal="center"/>
    </xf>
    <xf numFmtId="3" fontId="63" fillId="24" borderId="39" xfId="2" applyNumberFormat="1" applyFont="1" applyFill="1" applyBorder="1" applyAlignment="1">
      <alignment horizontal="center"/>
    </xf>
    <xf numFmtId="3" fontId="63" fillId="24" borderId="38" xfId="2" applyNumberFormat="1" applyFont="1" applyFill="1" applyBorder="1" applyAlignment="1">
      <alignment horizontal="center"/>
    </xf>
    <xf numFmtId="3" fontId="5" fillId="0" borderId="11" xfId="2" applyNumberFormat="1" applyFont="1" applyFill="1" applyBorder="1" applyAlignment="1">
      <alignment horizontal="center" vertical="center"/>
    </xf>
    <xf numFmtId="3" fontId="5" fillId="0" borderId="67" xfId="2" applyNumberFormat="1" applyFont="1" applyFill="1" applyBorder="1" applyAlignment="1">
      <alignment horizontal="center" vertical="center"/>
    </xf>
    <xf numFmtId="3" fontId="5" fillId="0" borderId="14" xfId="2" applyNumberFormat="1" applyFont="1" applyFill="1" applyBorder="1" applyAlignment="1">
      <alignment horizontal="center" vertical="center"/>
    </xf>
    <xf numFmtId="3" fontId="5" fillId="0" borderId="3" xfId="2" applyNumberFormat="1" applyFont="1" applyFill="1" applyBorder="1" applyAlignment="1">
      <alignment horizontal="center" vertical="center"/>
    </xf>
    <xf numFmtId="3" fontId="4" fillId="3" borderId="8" xfId="2" applyNumberFormat="1" applyFont="1" applyFill="1" applyBorder="1" applyAlignment="1">
      <alignment horizontal="center"/>
    </xf>
    <xf numFmtId="3" fontId="4" fillId="3" borderId="45" xfId="2" applyNumberFormat="1" applyFont="1" applyFill="1" applyBorder="1" applyAlignment="1">
      <alignment horizontal="center"/>
    </xf>
    <xf numFmtId="3" fontId="9" fillId="2" borderId="70" xfId="2" applyNumberFormat="1" applyFont="1" applyFill="1" applyBorder="1" applyAlignment="1">
      <alignment horizontal="center"/>
    </xf>
    <xf numFmtId="3" fontId="9" fillId="2" borderId="63" xfId="2" applyNumberFormat="1" applyFont="1" applyFill="1" applyBorder="1" applyAlignment="1">
      <alignment horizontal="center"/>
    </xf>
    <xf numFmtId="3" fontId="5" fillId="0" borderId="16" xfId="2" applyNumberFormat="1" applyFont="1" applyFill="1" applyBorder="1" applyAlignment="1">
      <alignment horizontal="center" vertical="center"/>
    </xf>
    <xf numFmtId="3" fontId="5" fillId="0" borderId="68" xfId="2" applyNumberFormat="1" applyFont="1" applyFill="1" applyBorder="1" applyAlignment="1">
      <alignment horizontal="center" vertical="center"/>
    </xf>
    <xf numFmtId="3" fontId="5" fillId="0" borderId="8" xfId="2" applyNumberFormat="1" applyFont="1" applyFill="1" applyBorder="1" applyAlignment="1">
      <alignment horizontal="center" vertical="center"/>
    </xf>
    <xf numFmtId="3" fontId="5" fillId="0" borderId="45" xfId="2" applyNumberFormat="1" applyFont="1" applyFill="1" applyBorder="1" applyAlignment="1">
      <alignment horizontal="center" vertical="center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45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/>
    </xf>
    <xf numFmtId="3" fontId="5" fillId="0" borderId="45" xfId="2" applyNumberFormat="1" applyFont="1" applyFill="1" applyBorder="1" applyAlignment="1">
      <alignment horizontal="center"/>
    </xf>
    <xf numFmtId="3" fontId="5" fillId="0" borderId="11" xfId="2" applyNumberFormat="1" applyFont="1" applyFill="1" applyBorder="1" applyAlignment="1">
      <alignment horizontal="center"/>
    </xf>
    <xf numFmtId="3" fontId="5" fillId="0" borderId="67" xfId="2" applyNumberFormat="1" applyFont="1" applyFill="1" applyBorder="1" applyAlignment="1">
      <alignment horizontal="center"/>
    </xf>
    <xf numFmtId="3" fontId="9" fillId="2" borderId="60" xfId="2" applyNumberFormat="1" applyFont="1" applyFill="1" applyBorder="1" applyAlignment="1">
      <alignment horizontal="left"/>
    </xf>
    <xf numFmtId="3" fontId="9" fillId="2" borderId="61" xfId="2" applyNumberFormat="1" applyFont="1" applyFill="1" applyBorder="1" applyAlignment="1">
      <alignment horizontal="left"/>
    </xf>
    <xf numFmtId="3" fontId="9" fillId="2" borderId="62" xfId="2" applyNumberFormat="1" applyFont="1" applyFill="1" applyBorder="1" applyAlignment="1">
      <alignment horizontal="left"/>
    </xf>
    <xf numFmtId="3" fontId="8" fillId="4" borderId="8" xfId="2" applyNumberFormat="1" applyFont="1" applyFill="1" applyBorder="1" applyAlignment="1" applyProtection="1">
      <alignment horizontal="center" vertical="center" wrapText="1"/>
    </xf>
    <xf numFmtId="3" fontId="8" fillId="4" borderId="45" xfId="2" applyNumberFormat="1" applyFont="1" applyFill="1" applyBorder="1" applyAlignment="1" applyProtection="1">
      <alignment horizontal="center" vertical="center" wrapText="1"/>
    </xf>
    <xf numFmtId="3" fontId="5" fillId="0" borderId="16" xfId="2" applyNumberFormat="1" applyFont="1" applyFill="1" applyBorder="1" applyAlignment="1">
      <alignment horizontal="center"/>
    </xf>
    <xf numFmtId="3" fontId="5" fillId="0" borderId="68" xfId="2" applyNumberFormat="1" applyFont="1" applyFill="1" applyBorder="1" applyAlignment="1">
      <alignment horizontal="center"/>
    </xf>
    <xf numFmtId="3" fontId="4" fillId="0" borderId="11" xfId="2" applyNumberFormat="1" applyFont="1" applyFill="1" applyBorder="1" applyAlignment="1">
      <alignment horizontal="center"/>
    </xf>
    <xf numFmtId="3" fontId="4" fillId="0" borderId="67" xfId="2" applyNumberFormat="1" applyFont="1" applyFill="1" applyBorder="1" applyAlignment="1">
      <alignment horizontal="center"/>
    </xf>
    <xf numFmtId="3" fontId="4" fillId="0" borderId="16" xfId="2" applyNumberFormat="1" applyFont="1" applyFill="1" applyBorder="1" applyAlignment="1">
      <alignment horizontal="center"/>
    </xf>
    <xf numFmtId="3" fontId="4" fillId="0" borderId="68" xfId="2" applyNumberFormat="1" applyFont="1" applyFill="1" applyBorder="1" applyAlignment="1">
      <alignment horizontal="center"/>
    </xf>
    <xf numFmtId="3" fontId="63" fillId="24" borderId="6" xfId="2" applyNumberFormat="1" applyFont="1" applyFill="1" applyBorder="1" applyAlignment="1">
      <alignment horizontal="center"/>
    </xf>
    <xf numFmtId="3" fontId="63" fillId="24" borderId="75" xfId="2" applyNumberFormat="1" applyFont="1" applyFill="1" applyBorder="1" applyAlignment="1">
      <alignment horizontal="center"/>
    </xf>
    <xf numFmtId="3" fontId="63" fillId="24" borderId="7" xfId="2" applyNumberFormat="1" applyFont="1" applyFill="1" applyBorder="1" applyAlignment="1">
      <alignment horizontal="center"/>
    </xf>
    <xf numFmtId="3" fontId="9" fillId="25" borderId="60" xfId="2" applyNumberFormat="1" applyFont="1" applyFill="1" applyBorder="1" applyAlignment="1">
      <alignment horizontal="right"/>
    </xf>
    <xf numFmtId="3" fontId="9" fillId="25" borderId="61" xfId="2" applyNumberFormat="1" applyFont="1" applyFill="1" applyBorder="1" applyAlignment="1">
      <alignment horizontal="right"/>
    </xf>
    <xf numFmtId="3" fontId="9" fillId="25" borderId="62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left" vertical="top" wrapText="1"/>
    </xf>
    <xf numFmtId="3" fontId="5" fillId="0" borderId="15" xfId="2" applyNumberFormat="1" applyFont="1" applyBorder="1" applyAlignment="1">
      <alignment horizontal="left" vertical="top" wrapText="1"/>
    </xf>
    <xf numFmtId="3" fontId="4" fillId="18" borderId="9" xfId="2" applyNumberFormat="1" applyFont="1" applyFill="1" applyBorder="1" applyAlignment="1">
      <alignment horizontal="left"/>
    </xf>
    <xf numFmtId="3" fontId="4" fillId="18" borderId="10" xfId="2" applyNumberFormat="1" applyFont="1" applyFill="1" applyBorder="1" applyAlignment="1">
      <alignment horizontal="left"/>
    </xf>
    <xf numFmtId="3" fontId="4" fillId="3" borderId="9" xfId="2" applyNumberFormat="1" applyFont="1" applyFill="1" applyBorder="1" applyAlignment="1">
      <alignment horizontal="center"/>
    </xf>
    <xf numFmtId="3" fontId="5" fillId="0" borderId="0" xfId="2" quotePrefix="1" applyNumberFormat="1" applyFont="1" applyFill="1" applyBorder="1" applyAlignment="1">
      <alignment horizontal="left" vertical="top" wrapText="1"/>
    </xf>
    <xf numFmtId="3" fontId="5" fillId="0" borderId="15" xfId="2" quotePrefix="1" applyNumberFormat="1" applyFont="1" applyFill="1" applyBorder="1" applyAlignment="1">
      <alignment horizontal="left" vertical="top" wrapText="1"/>
    </xf>
    <xf numFmtId="0" fontId="41" fillId="12" borderId="4" xfId="0" applyFont="1" applyFill="1" applyBorder="1" applyAlignment="1">
      <alignment horizontal="left"/>
    </xf>
    <xf numFmtId="0" fontId="41" fillId="12" borderId="37" xfId="0" applyFont="1" applyFill="1" applyBorder="1" applyAlignment="1">
      <alignment horizontal="left"/>
    </xf>
    <xf numFmtId="3" fontId="16" fillId="0" borderId="14" xfId="2" applyNumberFormat="1" applyFont="1" applyBorder="1" applyAlignment="1">
      <alignment horizontal="center" vertical="center" wrapText="1"/>
    </xf>
    <xf numFmtId="3" fontId="16" fillId="0" borderId="0" xfId="2" applyNumberFormat="1" applyFont="1" applyBorder="1" applyAlignment="1">
      <alignment horizontal="center" vertical="center" wrapText="1"/>
    </xf>
    <xf numFmtId="3" fontId="16" fillId="0" borderId="3" xfId="2" applyNumberFormat="1" applyFont="1" applyBorder="1" applyAlignment="1">
      <alignment horizontal="center" vertical="center" wrapText="1"/>
    </xf>
    <xf numFmtId="4" fontId="17" fillId="2" borderId="70" xfId="2" applyNumberFormat="1" applyFont="1" applyFill="1" applyBorder="1" applyAlignment="1">
      <alignment horizontal="center" vertical="center"/>
    </xf>
    <xf numFmtId="4" fontId="17" fillId="2" borderId="61" xfId="2" applyNumberFormat="1" applyFont="1" applyFill="1" applyBorder="1" applyAlignment="1">
      <alignment horizontal="center" vertical="center"/>
    </xf>
    <xf numFmtId="4" fontId="17" fillId="2" borderId="63" xfId="2" applyNumberFormat="1" applyFont="1" applyFill="1" applyBorder="1" applyAlignment="1">
      <alignment horizontal="center" vertical="center"/>
    </xf>
    <xf numFmtId="3" fontId="4" fillId="4" borderId="9" xfId="2" applyNumberFormat="1" applyFont="1" applyFill="1" applyBorder="1" applyAlignment="1" applyProtection="1">
      <alignment horizontal="center" vertical="center" wrapText="1"/>
    </xf>
    <xf numFmtId="3" fontId="5" fillId="0" borderId="11" xfId="2" applyNumberFormat="1" applyFont="1" applyBorder="1" applyAlignment="1">
      <alignment horizontal="center" vertical="center" wrapText="1"/>
    </xf>
    <xf numFmtId="3" fontId="5" fillId="0" borderId="12" xfId="2" applyNumberFormat="1" applyFont="1" applyBorder="1" applyAlignment="1">
      <alignment horizontal="center" vertical="center" wrapText="1"/>
    </xf>
    <xf numFmtId="3" fontId="5" fillId="0" borderId="67" xfId="2" applyNumberFormat="1" applyFont="1" applyBorder="1" applyAlignment="1">
      <alignment horizontal="center" vertical="center" wrapText="1"/>
    </xf>
    <xf numFmtId="3" fontId="4" fillId="3" borderId="9" xfId="2" applyNumberFormat="1" applyFont="1" applyFill="1" applyBorder="1" applyAlignment="1">
      <alignment horizontal="center" vertical="center"/>
    </xf>
    <xf numFmtId="3" fontId="5" fillId="0" borderId="14" xfId="2" applyNumberFormat="1" applyFont="1" applyBorder="1" applyAlignment="1">
      <alignment horizontal="center" vertical="center" wrapText="1"/>
    </xf>
    <xf numFmtId="3" fontId="5" fillId="0" borderId="0" xfId="2" applyNumberFormat="1" applyFont="1" applyBorder="1" applyAlignment="1">
      <alignment horizontal="center" vertical="center" wrapText="1"/>
    </xf>
    <xf numFmtId="3" fontId="5" fillId="0" borderId="3" xfId="2" applyNumberFormat="1" applyFont="1" applyBorder="1" applyAlignment="1">
      <alignment horizontal="center" vertical="center" wrapText="1"/>
    </xf>
    <xf numFmtId="165" fontId="5" fillId="0" borderId="14" xfId="2" quotePrefix="1" applyNumberFormat="1" applyFont="1" applyBorder="1" applyAlignment="1">
      <alignment horizontal="center" vertical="center" wrapText="1"/>
    </xf>
    <xf numFmtId="165" fontId="5" fillId="0" borderId="0" xfId="2" quotePrefix="1" applyNumberFormat="1" applyFont="1" applyBorder="1" applyAlignment="1">
      <alignment horizontal="center" vertical="center" wrapText="1"/>
    </xf>
    <xf numFmtId="165" fontId="5" fillId="0" borderId="3" xfId="2" quotePrefix="1" applyNumberFormat="1" applyFont="1" applyBorder="1" applyAlignment="1">
      <alignment horizontal="center" vertical="center" wrapText="1"/>
    </xf>
    <xf numFmtId="3" fontId="63" fillId="2" borderId="6" xfId="2" applyNumberFormat="1" applyFont="1" applyFill="1" applyBorder="1" applyAlignment="1">
      <alignment horizontal="center"/>
    </xf>
    <xf numFmtId="3" fontId="63" fillId="2" borderId="75" xfId="2" applyNumberFormat="1" applyFont="1" applyFill="1" applyBorder="1" applyAlignment="1">
      <alignment horizontal="center"/>
    </xf>
    <xf numFmtId="3" fontId="63" fillId="2" borderId="7" xfId="2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3" fillId="24" borderId="43" xfId="3" applyFont="1" applyFill="1" applyBorder="1" applyAlignment="1">
      <alignment horizontal="center" vertical="center"/>
    </xf>
    <xf numFmtId="0" fontId="63" fillId="24" borderId="39" xfId="3" applyFont="1" applyFill="1" applyBorder="1" applyAlignment="1">
      <alignment horizontal="center" vertical="center"/>
    </xf>
    <xf numFmtId="0" fontId="63" fillId="24" borderId="38" xfId="3" applyFont="1" applyFill="1" applyBorder="1" applyAlignment="1">
      <alignment horizontal="center" vertical="center"/>
    </xf>
    <xf numFmtId="0" fontId="5" fillId="2" borderId="66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5" xfId="3" applyFont="1" applyFill="1" applyBorder="1" applyAlignment="1">
      <alignment horizontal="center" vertical="center" wrapText="1"/>
    </xf>
    <xf numFmtId="0" fontId="5" fillId="2" borderId="52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 applyProtection="1">
      <alignment horizontal="center" vertical="center" wrapText="1"/>
    </xf>
    <xf numFmtId="0" fontId="3" fillId="2" borderId="67" xfId="3" applyFont="1" applyFill="1" applyBorder="1" applyAlignment="1" applyProtection="1">
      <alignment horizontal="center" vertical="center" wrapText="1"/>
    </xf>
    <xf numFmtId="0" fontId="25" fillId="18" borderId="8" xfId="0" applyFont="1" applyFill="1" applyBorder="1" applyAlignment="1">
      <alignment horizontal="right"/>
    </xf>
    <xf numFmtId="0" fontId="25" fillId="18" borderId="9" xfId="0" applyFont="1" applyFill="1" applyBorder="1" applyAlignment="1">
      <alignment horizontal="right"/>
    </xf>
    <xf numFmtId="0" fontId="25" fillId="18" borderId="10" xfId="0" applyFont="1" applyFill="1" applyBorder="1" applyAlignment="1">
      <alignment horizontal="right"/>
    </xf>
    <xf numFmtId="0" fontId="25" fillId="16" borderId="8" xfId="0" applyFont="1" applyFill="1" applyBorder="1" applyAlignment="1">
      <alignment horizontal="right" wrapText="1"/>
    </xf>
    <xf numFmtId="0" fontId="25" fillId="16" borderId="9" xfId="0" applyFont="1" applyFill="1" applyBorder="1" applyAlignment="1">
      <alignment horizontal="right" wrapText="1"/>
    </xf>
    <xf numFmtId="0" fontId="25" fillId="16" borderId="10" xfId="0" applyFont="1" applyFill="1" applyBorder="1" applyAlignment="1">
      <alignment horizontal="right" wrapText="1"/>
    </xf>
    <xf numFmtId="0" fontId="25" fillId="16" borderId="19" xfId="0" applyFont="1" applyFill="1" applyBorder="1" applyAlignment="1">
      <alignment horizontal="center"/>
    </xf>
    <xf numFmtId="0" fontId="25" fillId="17" borderId="8" xfId="0" applyFont="1" applyFill="1" applyBorder="1" applyAlignment="1">
      <alignment horizontal="left" wrapText="1"/>
    </xf>
    <xf numFmtId="0" fontId="25" fillId="17" borderId="9" xfId="0" applyFont="1" applyFill="1" applyBorder="1" applyAlignment="1">
      <alignment horizontal="left" wrapText="1"/>
    </xf>
    <xf numFmtId="0" fontId="25" fillId="17" borderId="10" xfId="0" applyFont="1" applyFill="1" applyBorder="1" applyAlignment="1">
      <alignment horizontal="left" wrapText="1"/>
    </xf>
    <xf numFmtId="0" fontId="25" fillId="17" borderId="8" xfId="0" applyFont="1" applyFill="1" applyBorder="1" applyAlignment="1">
      <alignment horizontal="left"/>
    </xf>
    <xf numFmtId="0" fontId="25" fillId="17" borderId="9" xfId="0" applyFont="1" applyFill="1" applyBorder="1" applyAlignment="1">
      <alignment horizontal="left"/>
    </xf>
    <xf numFmtId="0" fontId="25" fillId="17" borderId="10" xfId="0" applyFont="1" applyFill="1" applyBorder="1" applyAlignment="1">
      <alignment horizontal="left"/>
    </xf>
    <xf numFmtId="0" fontId="25" fillId="15" borderId="8" xfId="0" applyFont="1" applyFill="1" applyBorder="1" applyAlignment="1">
      <alignment horizontal="left"/>
    </xf>
    <xf numFmtId="0" fontId="25" fillId="15" borderId="9" xfId="0" applyFont="1" applyFill="1" applyBorder="1" applyAlignment="1">
      <alignment horizontal="left"/>
    </xf>
    <xf numFmtId="0" fontId="25" fillId="15" borderId="10" xfId="0" applyFont="1" applyFill="1" applyBorder="1" applyAlignment="1">
      <alignment horizontal="left"/>
    </xf>
    <xf numFmtId="168" fontId="11" fillId="0" borderId="17" xfId="6" applyFont="1" applyFill="1" applyBorder="1" applyAlignment="1">
      <alignment horizontal="center"/>
    </xf>
    <xf numFmtId="0" fontId="25" fillId="16" borderId="16" xfId="0" applyFont="1" applyFill="1" applyBorder="1" applyAlignment="1">
      <alignment horizontal="right"/>
    </xf>
    <xf numFmtId="0" fontId="25" fillId="16" borderId="17" xfId="0" applyFont="1" applyFill="1" applyBorder="1" applyAlignment="1">
      <alignment horizontal="right"/>
    </xf>
    <xf numFmtId="0" fontId="25" fillId="16" borderId="18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23" borderId="8" xfId="0" applyFont="1" applyFill="1" applyBorder="1" applyAlignment="1">
      <alignment horizontal="left"/>
    </xf>
    <xf numFmtId="0" fontId="3" fillId="23" borderId="9" xfId="0" applyFont="1" applyFill="1" applyBorder="1" applyAlignment="1">
      <alignment horizontal="left"/>
    </xf>
    <xf numFmtId="0" fontId="3" fillId="23" borderId="1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</cellXfs>
  <cellStyles count="9">
    <cellStyle name="Comma" xfId="5" builtinId="3"/>
    <cellStyle name="Milliers 2" xfId="6"/>
    <cellStyle name="Milliers 2 2" xfId="7"/>
    <cellStyle name="Milliers 3" xfId="8"/>
    <cellStyle name="Normal" xfId="0" builtinId="0"/>
    <cellStyle name="Normal 2_Budget 2012 Antenne détail" xfId="3"/>
    <cellStyle name="Normal_BF2012 prg v.0.1 - compilé &amp; ventilé" xfId="4"/>
    <cellStyle name="Normal_Budget 2012 Antenne détail" xfId="2"/>
    <cellStyle name="Percent" xfId="1" builtinId="5"/>
  </cellStyles>
  <dxfs count="0"/>
  <tableStyles count="0" defaultTableStyle="TableStyleMedium9" defaultPivotStyle="PivotStyleLight16"/>
  <colors>
    <mruColors>
      <color rgb="FF00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76200</xdr:rowOff>
    </xdr:from>
    <xdr:to>
      <xdr:col>5</xdr:col>
      <xdr:colOff>400050</xdr:colOff>
      <xdr:row>3</xdr:row>
      <xdr:rowOff>171450</xdr:rowOff>
    </xdr:to>
    <xdr:pic>
      <xdr:nvPicPr>
        <xdr:cNvPr id="2" name="Immagine 2" descr="LOGO OIKOS ONLUS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76200"/>
          <a:ext cx="8858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525"/>
  <sheetViews>
    <sheetView tabSelected="1" zoomScale="90" zoomScaleNormal="90" workbookViewId="0"/>
  </sheetViews>
  <sheetFormatPr defaultColWidth="11.42578125" defaultRowHeight="15" x14ac:dyDescent="0.25"/>
  <cols>
    <col min="1" max="1" width="1.7109375" style="133" customWidth="1"/>
    <col min="2" max="2" width="11.42578125" style="133"/>
    <col min="3" max="3" width="60" style="133" customWidth="1"/>
    <col min="4" max="4" width="12.5703125" style="133" customWidth="1"/>
    <col min="5" max="6" width="12.5703125" style="137" customWidth="1"/>
    <col min="7" max="7" width="12.5703125" style="137" bestFit="1" customWidth="1"/>
    <col min="8" max="8" width="14.28515625" style="137" bestFit="1" customWidth="1"/>
    <col min="9" max="9" width="12" style="133" bestFit="1" customWidth="1"/>
    <col min="10" max="10" width="12.5703125" style="133" customWidth="1"/>
    <col min="11" max="13" width="11.42578125" style="133" customWidth="1"/>
    <col min="14" max="14" width="2.42578125" style="133" customWidth="1"/>
    <col min="15" max="16" width="9.28515625" style="297" customWidth="1"/>
    <col min="17" max="17" width="1.7109375" style="133" customWidth="1"/>
    <col min="18" max="16384" width="11.42578125" style="133"/>
  </cols>
  <sheetData>
    <row r="1" spans="1:16" ht="8.25" customHeight="1" x14ac:dyDescent="0.25">
      <c r="A1" s="515"/>
    </row>
    <row r="2" spans="1:16" ht="15" customHeight="1" x14ac:dyDescent="0.25">
      <c r="I2" s="301" t="s">
        <v>420</v>
      </c>
      <c r="J2" s="302" t="s">
        <v>421</v>
      </c>
      <c r="K2" s="302" t="s">
        <v>422</v>
      </c>
      <c r="L2" s="302" t="s">
        <v>423</v>
      </c>
      <c r="M2" s="303" t="s">
        <v>424</v>
      </c>
      <c r="O2" s="655" t="s">
        <v>263</v>
      </c>
      <c r="P2" s="655"/>
    </row>
    <row r="3" spans="1:16" s="141" customFormat="1" ht="15.75" x14ac:dyDescent="0.25">
      <c r="B3" s="172"/>
      <c r="C3" s="656" t="s">
        <v>444</v>
      </c>
      <c r="D3" s="656"/>
      <c r="E3" s="173"/>
      <c r="F3" s="173"/>
      <c r="G3" s="173">
        <f>G5+G41+G82</f>
        <v>3191131.9148936169</v>
      </c>
      <c r="H3" s="174"/>
      <c r="I3" s="291">
        <f>I5+I41+I82</f>
        <v>494843.40425531921</v>
      </c>
      <c r="J3" s="292">
        <f>J5+J41+J82</f>
        <v>861990.06079027359</v>
      </c>
      <c r="K3" s="292">
        <f>K5+K41+K82</f>
        <v>1012483.9817629179</v>
      </c>
      <c r="L3" s="292">
        <f>L5+L41+L82</f>
        <v>510166.35258358665</v>
      </c>
      <c r="M3" s="293">
        <f>M5+M41+M82</f>
        <v>311648.11550151976</v>
      </c>
      <c r="N3" s="288"/>
      <c r="O3" s="298">
        <f>SUM(I3:N3)</f>
        <v>3191131.9148936169</v>
      </c>
      <c r="P3" s="298">
        <f>G3-O3</f>
        <v>0</v>
      </c>
    </row>
    <row r="4" spans="1:16" x14ac:dyDescent="0.25">
      <c r="B4" s="175"/>
      <c r="C4" s="652"/>
      <c r="D4" s="652"/>
      <c r="H4" s="176"/>
      <c r="I4" s="289"/>
      <c r="J4" s="137"/>
      <c r="K4" s="137"/>
      <c r="L4" s="137"/>
      <c r="M4" s="176"/>
    </row>
    <row r="5" spans="1:16" x14ac:dyDescent="0.25">
      <c r="B5" s="177"/>
      <c r="C5" s="657" t="s">
        <v>445</v>
      </c>
      <c r="D5" s="657"/>
      <c r="E5" s="140">
        <f>SUM(E7:E39)</f>
        <v>0</v>
      </c>
      <c r="F5" s="140">
        <f>SUM(F7:F39)</f>
        <v>0</v>
      </c>
      <c r="G5" s="140">
        <f>G6+G10+G27+G31</f>
        <v>318117</v>
      </c>
      <c r="H5" s="178">
        <f>G5/G3</f>
        <v>9.9687825036404082E-2</v>
      </c>
      <c r="I5" s="294">
        <f t="shared" ref="I5:M5" si="0">I6+I10+I27+I31</f>
        <v>64903.4</v>
      </c>
      <c r="J5" s="140">
        <f t="shared" si="0"/>
        <v>55803.4</v>
      </c>
      <c r="K5" s="140">
        <f t="shared" si="0"/>
        <v>85803.4</v>
      </c>
      <c r="L5" s="140">
        <f t="shared" si="0"/>
        <v>55803.4</v>
      </c>
      <c r="M5" s="182">
        <f t="shared" si="0"/>
        <v>55803.4</v>
      </c>
      <c r="O5" s="298">
        <f>SUM(I5:N5)</f>
        <v>318117.00000000006</v>
      </c>
      <c r="P5" s="298">
        <f>G5-O5</f>
        <v>0</v>
      </c>
    </row>
    <row r="6" spans="1:16" x14ac:dyDescent="0.25">
      <c r="B6" s="526"/>
      <c r="C6" s="653" t="s">
        <v>208</v>
      </c>
      <c r="D6" s="653"/>
      <c r="E6" s="527"/>
      <c r="F6" s="527"/>
      <c r="G6" s="527">
        <f>SUM(G7:G9)</f>
        <v>180117</v>
      </c>
      <c r="H6" s="528"/>
      <c r="I6" s="531">
        <f t="shared" ref="I6:M6" si="1">SUM(I7:I9)</f>
        <v>36023.4</v>
      </c>
      <c r="J6" s="527">
        <f t="shared" si="1"/>
        <v>36023.4</v>
      </c>
      <c r="K6" s="527">
        <f t="shared" si="1"/>
        <v>36023.4</v>
      </c>
      <c r="L6" s="527">
        <f t="shared" si="1"/>
        <v>36023.4</v>
      </c>
      <c r="M6" s="528">
        <f t="shared" si="1"/>
        <v>36023.4</v>
      </c>
    </row>
    <row r="7" spans="1:16" x14ac:dyDescent="0.25">
      <c r="B7" s="175"/>
      <c r="C7" s="652" t="s">
        <v>446</v>
      </c>
      <c r="D7" s="652"/>
      <c r="G7" s="137">
        <f>('Total IDP'!F8+'Total IDP'!F28)-E45-F45</f>
        <v>61233</v>
      </c>
      <c r="H7" s="176"/>
      <c r="I7" s="289">
        <f>$G7/5</f>
        <v>12246.6</v>
      </c>
      <c r="J7" s="137">
        <f t="shared" ref="J7:M26" si="2">$G7/5</f>
        <v>12246.6</v>
      </c>
      <c r="K7" s="137">
        <f t="shared" si="2"/>
        <v>12246.6</v>
      </c>
      <c r="L7" s="137">
        <f t="shared" si="2"/>
        <v>12246.6</v>
      </c>
      <c r="M7" s="176">
        <f t="shared" si="2"/>
        <v>12246.6</v>
      </c>
    </row>
    <row r="8" spans="1:16" x14ac:dyDescent="0.25">
      <c r="B8" s="175"/>
      <c r="C8" s="652" t="s">
        <v>447</v>
      </c>
      <c r="D8" s="652"/>
      <c r="G8" s="143">
        <f>'Total IDP'!F17</f>
        <v>98340</v>
      </c>
      <c r="H8" s="176"/>
      <c r="I8" s="289">
        <f t="shared" ref="I8:I26" si="3">$G8/5</f>
        <v>19668</v>
      </c>
      <c r="J8" s="137">
        <f t="shared" si="2"/>
        <v>19668</v>
      </c>
      <c r="K8" s="137">
        <f t="shared" si="2"/>
        <v>19668</v>
      </c>
      <c r="L8" s="137">
        <f t="shared" si="2"/>
        <v>19668</v>
      </c>
      <c r="M8" s="176">
        <f t="shared" si="2"/>
        <v>19668</v>
      </c>
    </row>
    <row r="9" spans="1:16" x14ac:dyDescent="0.25">
      <c r="B9" s="175"/>
      <c r="C9" s="652" t="s">
        <v>448</v>
      </c>
      <c r="D9" s="654"/>
      <c r="G9" s="137">
        <f>'Total IDP'!F22</f>
        <v>20544</v>
      </c>
      <c r="H9" s="176"/>
      <c r="I9" s="289">
        <f t="shared" si="3"/>
        <v>4108.8</v>
      </c>
      <c r="J9" s="137">
        <f t="shared" si="2"/>
        <v>4108.8</v>
      </c>
      <c r="K9" s="137">
        <f t="shared" si="2"/>
        <v>4108.8</v>
      </c>
      <c r="L9" s="137">
        <f t="shared" si="2"/>
        <v>4108.8</v>
      </c>
      <c r="M9" s="176">
        <f t="shared" si="2"/>
        <v>4108.8</v>
      </c>
    </row>
    <row r="10" spans="1:16" x14ac:dyDescent="0.25">
      <c r="B10" s="526"/>
      <c r="C10" s="653" t="s">
        <v>166</v>
      </c>
      <c r="D10" s="653"/>
      <c r="E10" s="529"/>
      <c r="F10" s="529"/>
      <c r="G10" s="527">
        <f>SUM(G11:G26)</f>
        <v>86400</v>
      </c>
      <c r="H10" s="530"/>
      <c r="I10" s="531">
        <f t="shared" ref="I10:M10" si="4">SUM(I11:I26)</f>
        <v>17280</v>
      </c>
      <c r="J10" s="527">
        <f t="shared" si="4"/>
        <v>17280</v>
      </c>
      <c r="K10" s="527">
        <f t="shared" si="4"/>
        <v>17280</v>
      </c>
      <c r="L10" s="527">
        <f t="shared" si="4"/>
        <v>17280</v>
      </c>
      <c r="M10" s="528">
        <f t="shared" si="4"/>
        <v>17280</v>
      </c>
    </row>
    <row r="11" spans="1:16" x14ac:dyDescent="0.25">
      <c r="B11" s="175"/>
      <c r="C11" s="634" t="s">
        <v>449</v>
      </c>
      <c r="D11" s="634"/>
      <c r="G11" s="137">
        <f>'Total IDP'!F45</f>
        <v>27000</v>
      </c>
      <c r="H11" s="176"/>
      <c r="I11" s="289">
        <f t="shared" si="3"/>
        <v>5400</v>
      </c>
      <c r="J11" s="137">
        <f t="shared" si="2"/>
        <v>5400</v>
      </c>
      <c r="K11" s="137">
        <f t="shared" si="2"/>
        <v>5400</v>
      </c>
      <c r="L11" s="137">
        <f t="shared" si="2"/>
        <v>5400</v>
      </c>
      <c r="M11" s="176">
        <f t="shared" si="2"/>
        <v>5400</v>
      </c>
    </row>
    <row r="12" spans="1:16" x14ac:dyDescent="0.25">
      <c r="B12" s="175"/>
      <c r="C12" s="634" t="s">
        <v>450</v>
      </c>
      <c r="D12" s="634"/>
      <c r="G12" s="137">
        <f>'Total IDP'!F46</f>
        <v>9000</v>
      </c>
      <c r="H12" s="176"/>
      <c r="I12" s="289">
        <f t="shared" si="3"/>
        <v>1800</v>
      </c>
      <c r="J12" s="137">
        <f t="shared" si="2"/>
        <v>1800</v>
      </c>
      <c r="K12" s="137">
        <f t="shared" si="2"/>
        <v>1800</v>
      </c>
      <c r="L12" s="137">
        <f t="shared" si="2"/>
        <v>1800</v>
      </c>
      <c r="M12" s="176">
        <f t="shared" si="2"/>
        <v>1800</v>
      </c>
    </row>
    <row r="13" spans="1:16" x14ac:dyDescent="0.25">
      <c r="B13" s="175"/>
      <c r="C13" s="634" t="s">
        <v>451</v>
      </c>
      <c r="D13" s="634"/>
      <c r="G13" s="137">
        <f>'Total IDP'!F47</f>
        <v>350</v>
      </c>
      <c r="H13" s="176"/>
      <c r="I13" s="289">
        <f t="shared" si="3"/>
        <v>70</v>
      </c>
      <c r="J13" s="137">
        <f t="shared" si="2"/>
        <v>70</v>
      </c>
      <c r="K13" s="137">
        <f t="shared" si="2"/>
        <v>70</v>
      </c>
      <c r="L13" s="137">
        <f t="shared" si="2"/>
        <v>70</v>
      </c>
      <c r="M13" s="176">
        <f t="shared" si="2"/>
        <v>70</v>
      </c>
    </row>
    <row r="14" spans="1:16" x14ac:dyDescent="0.25">
      <c r="B14" s="175"/>
      <c r="C14" s="634" t="s">
        <v>452</v>
      </c>
      <c r="D14" s="634"/>
      <c r="G14" s="137">
        <f>'Total IDP'!F48</f>
        <v>480</v>
      </c>
      <c r="H14" s="176"/>
      <c r="I14" s="289">
        <f t="shared" si="3"/>
        <v>96</v>
      </c>
      <c r="J14" s="137">
        <f t="shared" si="2"/>
        <v>96</v>
      </c>
      <c r="K14" s="137">
        <f t="shared" si="2"/>
        <v>96</v>
      </c>
      <c r="L14" s="137">
        <f t="shared" si="2"/>
        <v>96</v>
      </c>
      <c r="M14" s="176">
        <f t="shared" si="2"/>
        <v>96</v>
      </c>
    </row>
    <row r="15" spans="1:16" x14ac:dyDescent="0.25">
      <c r="B15" s="175"/>
      <c r="C15" s="634" t="s">
        <v>453</v>
      </c>
      <c r="D15" s="634"/>
      <c r="G15" s="137">
        <f>'Total IDP'!F49</f>
        <v>420</v>
      </c>
      <c r="H15" s="176"/>
      <c r="I15" s="289">
        <f t="shared" si="3"/>
        <v>84</v>
      </c>
      <c r="J15" s="137">
        <f t="shared" si="2"/>
        <v>84</v>
      </c>
      <c r="K15" s="137">
        <f t="shared" si="2"/>
        <v>84</v>
      </c>
      <c r="L15" s="137">
        <f t="shared" si="2"/>
        <v>84</v>
      </c>
      <c r="M15" s="176">
        <f t="shared" si="2"/>
        <v>84</v>
      </c>
    </row>
    <row r="16" spans="1:16" x14ac:dyDescent="0.25">
      <c r="B16" s="175"/>
      <c r="C16" s="634" t="s">
        <v>454</v>
      </c>
      <c r="D16" s="634"/>
      <c r="G16" s="137">
        <f>'Total IDP'!F50</f>
        <v>900</v>
      </c>
      <c r="H16" s="176"/>
      <c r="I16" s="289">
        <f t="shared" si="3"/>
        <v>180</v>
      </c>
      <c r="J16" s="137">
        <f t="shared" si="2"/>
        <v>180</v>
      </c>
      <c r="K16" s="137">
        <f t="shared" si="2"/>
        <v>180</v>
      </c>
      <c r="L16" s="137">
        <f t="shared" si="2"/>
        <v>180</v>
      </c>
      <c r="M16" s="176">
        <f t="shared" si="2"/>
        <v>180</v>
      </c>
    </row>
    <row r="17" spans="2:13" x14ac:dyDescent="0.25">
      <c r="B17" s="175"/>
      <c r="C17" s="634" t="s">
        <v>455</v>
      </c>
      <c r="D17" s="634"/>
      <c r="G17" s="137">
        <f>'Total IDP'!F51</f>
        <v>2100</v>
      </c>
      <c r="H17" s="176"/>
      <c r="I17" s="289">
        <f t="shared" si="3"/>
        <v>420</v>
      </c>
      <c r="J17" s="137">
        <f t="shared" si="2"/>
        <v>420</v>
      </c>
      <c r="K17" s="137">
        <f t="shared" si="2"/>
        <v>420</v>
      </c>
      <c r="L17" s="137">
        <f t="shared" si="2"/>
        <v>420</v>
      </c>
      <c r="M17" s="176">
        <f t="shared" si="2"/>
        <v>420</v>
      </c>
    </row>
    <row r="18" spans="2:13" x14ac:dyDescent="0.25">
      <c r="B18" s="175"/>
      <c r="C18" s="634" t="s">
        <v>350</v>
      </c>
      <c r="D18" s="634"/>
      <c r="G18" s="137">
        <f>'Total IDP'!F52</f>
        <v>10000</v>
      </c>
      <c r="H18" s="176"/>
      <c r="I18" s="289">
        <f t="shared" si="3"/>
        <v>2000</v>
      </c>
      <c r="J18" s="137">
        <f t="shared" si="2"/>
        <v>2000</v>
      </c>
      <c r="K18" s="137">
        <f t="shared" si="2"/>
        <v>2000</v>
      </c>
      <c r="L18" s="137">
        <f t="shared" si="2"/>
        <v>2000</v>
      </c>
      <c r="M18" s="176">
        <f t="shared" si="2"/>
        <v>2000</v>
      </c>
    </row>
    <row r="19" spans="2:13" x14ac:dyDescent="0.25">
      <c r="B19" s="175"/>
      <c r="C19" s="634" t="s">
        <v>456</v>
      </c>
      <c r="D19" s="634"/>
      <c r="G19" s="137">
        <f>'Total IDP'!F59</f>
        <v>1500</v>
      </c>
      <c r="H19" s="176"/>
      <c r="I19" s="289">
        <f t="shared" si="3"/>
        <v>300</v>
      </c>
      <c r="J19" s="137">
        <f t="shared" si="2"/>
        <v>300</v>
      </c>
      <c r="K19" s="137">
        <f t="shared" si="2"/>
        <v>300</v>
      </c>
      <c r="L19" s="137">
        <f t="shared" si="2"/>
        <v>300</v>
      </c>
      <c r="M19" s="176">
        <f t="shared" si="2"/>
        <v>300</v>
      </c>
    </row>
    <row r="20" spans="2:13" x14ac:dyDescent="0.25">
      <c r="B20" s="175"/>
      <c r="C20" s="634" t="s">
        <v>457</v>
      </c>
      <c r="D20" s="634"/>
      <c r="G20" s="137">
        <f>'Total IDP'!F53</f>
        <v>6000</v>
      </c>
      <c r="H20" s="176"/>
      <c r="I20" s="289">
        <f t="shared" si="3"/>
        <v>1200</v>
      </c>
      <c r="J20" s="137">
        <f t="shared" si="2"/>
        <v>1200</v>
      </c>
      <c r="K20" s="137">
        <f t="shared" si="2"/>
        <v>1200</v>
      </c>
      <c r="L20" s="137">
        <f t="shared" si="2"/>
        <v>1200</v>
      </c>
      <c r="M20" s="176">
        <f t="shared" si="2"/>
        <v>1200</v>
      </c>
    </row>
    <row r="21" spans="2:13" x14ac:dyDescent="0.25">
      <c r="B21" s="175"/>
      <c r="C21" s="634" t="s">
        <v>458</v>
      </c>
      <c r="D21" s="634"/>
      <c r="G21" s="525">
        <f>'Total IDP'!F36</f>
        <v>2400</v>
      </c>
      <c r="H21" s="176"/>
      <c r="I21" s="289">
        <f t="shared" si="3"/>
        <v>480</v>
      </c>
      <c r="J21" s="137">
        <f t="shared" si="2"/>
        <v>480</v>
      </c>
      <c r="K21" s="137">
        <f t="shared" si="2"/>
        <v>480</v>
      </c>
      <c r="L21" s="137">
        <f t="shared" si="2"/>
        <v>480</v>
      </c>
      <c r="M21" s="176">
        <f t="shared" si="2"/>
        <v>480</v>
      </c>
    </row>
    <row r="22" spans="2:13" x14ac:dyDescent="0.25">
      <c r="B22" s="175"/>
      <c r="C22" s="634" t="s">
        <v>459</v>
      </c>
      <c r="D22" s="634"/>
      <c r="G22" s="525">
        <f>'Total IDP'!F37</f>
        <v>5000</v>
      </c>
      <c r="H22" s="176"/>
      <c r="I22" s="289">
        <f t="shared" si="3"/>
        <v>1000</v>
      </c>
      <c r="J22" s="137">
        <f t="shared" si="2"/>
        <v>1000</v>
      </c>
      <c r="K22" s="137">
        <f t="shared" si="2"/>
        <v>1000</v>
      </c>
      <c r="L22" s="137">
        <f t="shared" si="2"/>
        <v>1000</v>
      </c>
      <c r="M22" s="176">
        <f t="shared" si="2"/>
        <v>1000</v>
      </c>
    </row>
    <row r="23" spans="2:13" x14ac:dyDescent="0.25">
      <c r="B23" s="175"/>
      <c r="C23" s="634" t="s">
        <v>460</v>
      </c>
      <c r="D23" s="634"/>
      <c r="G23" s="525">
        <f>'Total IDP'!F38</f>
        <v>15000</v>
      </c>
      <c r="H23" s="176"/>
      <c r="I23" s="289">
        <f t="shared" si="3"/>
        <v>3000</v>
      </c>
      <c r="J23" s="137">
        <f t="shared" si="2"/>
        <v>3000</v>
      </c>
      <c r="K23" s="137">
        <f t="shared" si="2"/>
        <v>3000</v>
      </c>
      <c r="L23" s="137">
        <f t="shared" si="2"/>
        <v>3000</v>
      </c>
      <c r="M23" s="176">
        <f t="shared" si="2"/>
        <v>3000</v>
      </c>
    </row>
    <row r="24" spans="2:13" x14ac:dyDescent="0.25">
      <c r="B24" s="175"/>
      <c r="C24" s="634" t="s">
        <v>461</v>
      </c>
      <c r="D24" s="634"/>
      <c r="G24" s="525">
        <f>'Total IDP'!F39</f>
        <v>1500</v>
      </c>
      <c r="H24" s="176"/>
      <c r="I24" s="289">
        <f t="shared" si="3"/>
        <v>300</v>
      </c>
      <c r="J24" s="137">
        <f t="shared" si="2"/>
        <v>300</v>
      </c>
      <c r="K24" s="137">
        <f t="shared" si="2"/>
        <v>300</v>
      </c>
      <c r="L24" s="137">
        <f t="shared" si="2"/>
        <v>300</v>
      </c>
      <c r="M24" s="176">
        <f t="shared" si="2"/>
        <v>300</v>
      </c>
    </row>
    <row r="25" spans="2:13" x14ac:dyDescent="0.25">
      <c r="B25" s="175"/>
      <c r="C25" s="634" t="s">
        <v>462</v>
      </c>
      <c r="D25" s="634"/>
      <c r="G25" s="137">
        <f>'Total IDP'!F40+'Total IDP'!F41</f>
        <v>2250</v>
      </c>
      <c r="H25" s="176"/>
      <c r="I25" s="289">
        <f t="shared" si="3"/>
        <v>450</v>
      </c>
      <c r="J25" s="137">
        <f t="shared" si="2"/>
        <v>450</v>
      </c>
      <c r="K25" s="137">
        <f t="shared" si="2"/>
        <v>450</v>
      </c>
      <c r="L25" s="137">
        <f t="shared" si="2"/>
        <v>450</v>
      </c>
      <c r="M25" s="176">
        <f t="shared" si="2"/>
        <v>450</v>
      </c>
    </row>
    <row r="26" spans="2:13" x14ac:dyDescent="0.25">
      <c r="B26" s="175"/>
      <c r="C26" s="634" t="s">
        <v>463</v>
      </c>
      <c r="D26" s="634"/>
      <c r="G26" s="137">
        <f>'Total IDP'!F42</f>
        <v>2500</v>
      </c>
      <c r="H26" s="176"/>
      <c r="I26" s="289">
        <f t="shared" si="3"/>
        <v>500</v>
      </c>
      <c r="J26" s="137">
        <f t="shared" si="2"/>
        <v>500</v>
      </c>
      <c r="K26" s="137">
        <f t="shared" si="2"/>
        <v>500</v>
      </c>
      <c r="L26" s="137">
        <f t="shared" si="2"/>
        <v>500</v>
      </c>
      <c r="M26" s="176">
        <f t="shared" si="2"/>
        <v>500</v>
      </c>
    </row>
    <row r="27" spans="2:13" x14ac:dyDescent="0.25">
      <c r="B27" s="526"/>
      <c r="C27" s="653" t="s">
        <v>464</v>
      </c>
      <c r="D27" s="653"/>
      <c r="E27" s="529"/>
      <c r="F27" s="529"/>
      <c r="G27" s="527">
        <f>SUM(G28:G30)</f>
        <v>4100</v>
      </c>
      <c r="H27" s="530"/>
      <c r="I27" s="531">
        <f t="shared" ref="I27:M27" si="5">SUM(I28:I30)</f>
        <v>4100</v>
      </c>
      <c r="J27" s="527">
        <f t="shared" si="5"/>
        <v>0</v>
      </c>
      <c r="K27" s="527">
        <f t="shared" si="5"/>
        <v>0</v>
      </c>
      <c r="L27" s="527">
        <f t="shared" si="5"/>
        <v>0</v>
      </c>
      <c r="M27" s="528">
        <f t="shared" si="5"/>
        <v>0</v>
      </c>
    </row>
    <row r="28" spans="2:13" x14ac:dyDescent="0.25">
      <c r="B28" s="175"/>
      <c r="C28" s="635" t="s">
        <v>465</v>
      </c>
      <c r="D28" s="635"/>
      <c r="G28" s="137">
        <f>'Total IDP'!F68</f>
        <v>975</v>
      </c>
      <c r="H28" s="176"/>
      <c r="I28" s="289">
        <f>$G28</f>
        <v>975</v>
      </c>
      <c r="J28" s="137">
        <v>0</v>
      </c>
      <c r="K28" s="137">
        <v>0</v>
      </c>
      <c r="L28" s="137">
        <v>0</v>
      </c>
      <c r="M28" s="176">
        <v>0</v>
      </c>
    </row>
    <row r="29" spans="2:13" x14ac:dyDescent="0.25">
      <c r="B29" s="175"/>
      <c r="C29" s="635" t="s">
        <v>466</v>
      </c>
      <c r="D29" s="635"/>
      <c r="G29" s="137">
        <f>'Total IDP'!F74</f>
        <v>1400</v>
      </c>
      <c r="H29" s="176"/>
      <c r="I29" s="289">
        <f t="shared" ref="I29:I30" si="6">$G29</f>
        <v>1400</v>
      </c>
      <c r="J29" s="137">
        <v>0</v>
      </c>
      <c r="K29" s="137">
        <v>0</v>
      </c>
      <c r="L29" s="137">
        <v>0</v>
      </c>
      <c r="M29" s="176">
        <v>0</v>
      </c>
    </row>
    <row r="30" spans="2:13" x14ac:dyDescent="0.25">
      <c r="B30" s="175"/>
      <c r="C30" s="635" t="s">
        <v>467</v>
      </c>
      <c r="D30" s="635"/>
      <c r="G30" s="137">
        <f>'Total IDP'!F75</f>
        <v>1725</v>
      </c>
      <c r="H30" s="176"/>
      <c r="I30" s="289">
        <f t="shared" si="6"/>
        <v>1725</v>
      </c>
      <c r="J30" s="137">
        <v>0</v>
      </c>
      <c r="K30" s="137">
        <v>0</v>
      </c>
      <c r="L30" s="137">
        <v>0</v>
      </c>
      <c r="M30" s="176">
        <v>0</v>
      </c>
    </row>
    <row r="31" spans="2:13" x14ac:dyDescent="0.25">
      <c r="B31" s="526"/>
      <c r="C31" s="653" t="s">
        <v>349</v>
      </c>
      <c r="D31" s="653"/>
      <c r="E31" s="529"/>
      <c r="F31" s="529"/>
      <c r="G31" s="527">
        <f>SUM(G32:G35)</f>
        <v>47500</v>
      </c>
      <c r="H31" s="530"/>
      <c r="I31" s="531">
        <f t="shared" ref="I31:M31" si="7">SUM(I32:I35)</f>
        <v>7500</v>
      </c>
      <c r="J31" s="527">
        <f t="shared" si="7"/>
        <v>2500</v>
      </c>
      <c r="K31" s="527">
        <f t="shared" si="7"/>
        <v>32500</v>
      </c>
      <c r="L31" s="527">
        <f t="shared" si="7"/>
        <v>2500</v>
      </c>
      <c r="M31" s="528">
        <f t="shared" si="7"/>
        <v>2500</v>
      </c>
    </row>
    <row r="32" spans="2:13" x14ac:dyDescent="0.25">
      <c r="B32" s="175"/>
      <c r="C32" s="635" t="s">
        <v>468</v>
      </c>
      <c r="D32" s="635"/>
      <c r="E32" s="139"/>
      <c r="F32" s="139"/>
      <c r="G32" s="139">
        <v>7500</v>
      </c>
      <c r="H32" s="180"/>
      <c r="I32" s="289">
        <f>$G32</f>
        <v>7500</v>
      </c>
      <c r="J32" s="137">
        <v>0</v>
      </c>
      <c r="K32" s="137">
        <v>0</v>
      </c>
      <c r="L32" s="137">
        <v>0</v>
      </c>
      <c r="M32" s="176">
        <v>0</v>
      </c>
    </row>
    <row r="33" spans="2:16" x14ac:dyDescent="0.25">
      <c r="B33" s="175"/>
      <c r="C33" s="635" t="s">
        <v>469</v>
      </c>
      <c r="D33" s="635"/>
      <c r="E33" s="139"/>
      <c r="F33" s="139"/>
      <c r="G33" s="139">
        <v>5000</v>
      </c>
      <c r="H33" s="180"/>
      <c r="I33" s="289">
        <v>0</v>
      </c>
      <c r="J33" s="137">
        <f>$G33/4</f>
        <v>1250</v>
      </c>
      <c r="K33" s="137">
        <f t="shared" ref="K33:M35" si="8">$G33/4</f>
        <v>1250</v>
      </c>
      <c r="L33" s="137">
        <f t="shared" si="8"/>
        <v>1250</v>
      </c>
      <c r="M33" s="176">
        <f t="shared" si="8"/>
        <v>1250</v>
      </c>
    </row>
    <row r="34" spans="2:16" x14ac:dyDescent="0.25">
      <c r="B34" s="175"/>
      <c r="C34" s="635" t="s">
        <v>470</v>
      </c>
      <c r="D34" s="635"/>
      <c r="E34" s="139"/>
      <c r="F34" s="139"/>
      <c r="G34" s="253">
        <v>30000</v>
      </c>
      <c r="H34" s="180"/>
      <c r="I34" s="289">
        <v>0</v>
      </c>
      <c r="J34" s="137">
        <v>0</v>
      </c>
      <c r="K34" s="137">
        <f>G34</f>
        <v>30000</v>
      </c>
      <c r="L34" s="137">
        <v>0</v>
      </c>
      <c r="M34" s="176">
        <v>0</v>
      </c>
    </row>
    <row r="35" spans="2:16" x14ac:dyDescent="0.25">
      <c r="B35" s="175"/>
      <c r="C35" s="635" t="s">
        <v>471</v>
      </c>
      <c r="D35" s="635"/>
      <c r="G35" s="143">
        <v>5000</v>
      </c>
      <c r="H35" s="180"/>
      <c r="I35" s="289">
        <v>0</v>
      </c>
      <c r="J35" s="137">
        <f>$G35/4</f>
        <v>1250</v>
      </c>
      <c r="K35" s="137">
        <f t="shared" si="8"/>
        <v>1250</v>
      </c>
      <c r="L35" s="137">
        <f t="shared" si="8"/>
        <v>1250</v>
      </c>
      <c r="M35" s="176">
        <f t="shared" si="8"/>
        <v>1250</v>
      </c>
    </row>
    <row r="36" spans="2:16" ht="5.25" customHeight="1" x14ac:dyDescent="0.25">
      <c r="B36" s="175"/>
      <c r="C36" s="635"/>
      <c r="D36" s="635"/>
      <c r="G36" s="143"/>
      <c r="H36" s="180"/>
      <c r="I36" s="289"/>
      <c r="J36" s="137"/>
      <c r="K36" s="137"/>
      <c r="L36" s="137"/>
      <c r="M36" s="176"/>
    </row>
    <row r="37" spans="2:16" x14ac:dyDescent="0.25">
      <c r="B37" s="175"/>
      <c r="C37" s="633" t="s">
        <v>472</v>
      </c>
      <c r="D37" s="633"/>
      <c r="G37" s="143"/>
      <c r="H37" s="180"/>
      <c r="I37" s="289"/>
      <c r="J37" s="137"/>
      <c r="K37" s="137"/>
      <c r="L37" s="137"/>
      <c r="M37" s="176"/>
    </row>
    <row r="38" spans="2:16" x14ac:dyDescent="0.25">
      <c r="B38" s="175"/>
      <c r="C38" s="633" t="s">
        <v>473</v>
      </c>
      <c r="D38" s="633"/>
      <c r="G38" s="143"/>
      <c r="H38" s="180"/>
      <c r="I38" s="289"/>
      <c r="J38" s="137"/>
      <c r="K38" s="137"/>
      <c r="L38" s="137"/>
      <c r="M38" s="176"/>
    </row>
    <row r="39" spans="2:16" ht="4.5" customHeight="1" x14ac:dyDescent="0.25">
      <c r="B39" s="175"/>
      <c r="C39" s="635"/>
      <c r="D39" s="635"/>
      <c r="G39" s="252"/>
      <c r="H39" s="176"/>
      <c r="I39" s="289"/>
      <c r="J39" s="137"/>
      <c r="K39" s="137"/>
      <c r="L39" s="137"/>
      <c r="M39" s="176"/>
    </row>
    <row r="40" spans="2:16" ht="18.75" customHeight="1" x14ac:dyDescent="0.25">
      <c r="B40" s="177"/>
      <c r="C40" s="136" t="s">
        <v>474</v>
      </c>
      <c r="D40" s="136"/>
      <c r="E40" s="145" t="s">
        <v>189</v>
      </c>
      <c r="F40" s="145" t="s">
        <v>190</v>
      </c>
      <c r="G40" s="145" t="s">
        <v>262</v>
      </c>
      <c r="H40" s="181"/>
      <c r="I40" s="290"/>
      <c r="J40" s="144"/>
      <c r="K40" s="144"/>
      <c r="L40" s="144"/>
      <c r="M40" s="181"/>
    </row>
    <row r="41" spans="2:16" x14ac:dyDescent="0.25">
      <c r="B41" s="177"/>
      <c r="C41" s="136"/>
      <c r="D41" s="136"/>
      <c r="E41" s="140">
        <f>E43+E57+E62+E67+E72+E77</f>
        <v>1337343</v>
      </c>
      <c r="F41" s="140">
        <f>F43+F57+F62+F67+F72+F77</f>
        <v>1344204</v>
      </c>
      <c r="G41" s="140">
        <f>G43+G57+G62+G67+G72+G77</f>
        <v>2681547</v>
      </c>
      <c r="H41" s="178">
        <f>G41/G3</f>
        <v>0.840312174963596</v>
      </c>
      <c r="I41" s="294">
        <f>I43+I57+I62+I67+I72+I77</f>
        <v>400249.4</v>
      </c>
      <c r="J41" s="140">
        <f>J43+J57+J62+J67+J72+J77</f>
        <v>754467.25714285718</v>
      </c>
      <c r="K41" s="140">
        <f>K43+K57+K62+K67+K72+K77</f>
        <v>865931.54285714286</v>
      </c>
      <c r="L41" s="140">
        <f>L43+L57+L62+L67+L72+L77</f>
        <v>423752.97142857144</v>
      </c>
      <c r="M41" s="182">
        <f>M43+M57+M62+M67+M72+M77</f>
        <v>237145.82857142857</v>
      </c>
      <c r="O41" s="298">
        <f>SUM(I41:N41)</f>
        <v>2681547</v>
      </c>
      <c r="P41" s="298">
        <f>G41-O41</f>
        <v>0</v>
      </c>
    </row>
    <row r="42" spans="2:16" x14ac:dyDescent="0.25">
      <c r="B42" s="175"/>
      <c r="C42" s="635"/>
      <c r="D42" s="635"/>
      <c r="H42" s="176"/>
      <c r="I42" s="289"/>
      <c r="J42" s="137"/>
      <c r="K42" s="137"/>
      <c r="L42" s="137"/>
      <c r="M42" s="176"/>
    </row>
    <row r="43" spans="2:16" x14ac:dyDescent="0.25">
      <c r="B43" s="183"/>
      <c r="C43" s="640" t="s">
        <v>475</v>
      </c>
      <c r="D43" s="640"/>
      <c r="E43" s="149">
        <f>SUM(E45:E56)</f>
        <v>383843</v>
      </c>
      <c r="F43" s="149">
        <f>SUM(F45:F56)</f>
        <v>315204</v>
      </c>
      <c r="G43" s="317">
        <f>SUM(G45:G56)</f>
        <v>699047</v>
      </c>
      <c r="H43" s="184"/>
      <c r="I43" s="295">
        <f t="shared" ref="I43:M43" si="9">SUM(I45:I56)</f>
        <v>217249.4</v>
      </c>
      <c r="J43" s="149">
        <f t="shared" si="9"/>
        <v>120449.4</v>
      </c>
      <c r="K43" s="149">
        <f t="shared" si="9"/>
        <v>120449.4</v>
      </c>
      <c r="L43" s="149">
        <f t="shared" si="9"/>
        <v>120449.4</v>
      </c>
      <c r="M43" s="296">
        <f t="shared" si="9"/>
        <v>120449.4</v>
      </c>
      <c r="O43" s="298">
        <f>SUM(I43:N43)</f>
        <v>699047</v>
      </c>
      <c r="P43" s="298">
        <f>G43-O43</f>
        <v>0</v>
      </c>
    </row>
    <row r="44" spans="2:16" x14ac:dyDescent="0.25">
      <c r="B44" s="521"/>
      <c r="C44" s="650" t="s">
        <v>208</v>
      </c>
      <c r="D44" s="650"/>
      <c r="E44" s="379"/>
      <c r="F44" s="379"/>
      <c r="G44" s="522"/>
      <c r="H44" s="523"/>
      <c r="I44" s="524"/>
      <c r="J44" s="142"/>
      <c r="K44" s="142"/>
      <c r="L44" s="142"/>
      <c r="M44" s="179"/>
      <c r="O44" s="298"/>
      <c r="P44" s="298"/>
    </row>
    <row r="45" spans="2:16" x14ac:dyDescent="0.25">
      <c r="B45" s="185"/>
      <c r="C45" s="635" t="s">
        <v>476</v>
      </c>
      <c r="D45" s="635"/>
      <c r="E45" s="137">
        <f>('Total IDP'!F8+'Total IDP'!F28)*0.425</f>
        <v>173493.5</v>
      </c>
      <c r="F45" s="137">
        <f>('Total IDP'!F8+'Total IDP'!F28)*0.425</f>
        <v>173493.5</v>
      </c>
      <c r="G45" s="143">
        <f t="shared" ref="G45:G56" si="10">SUM(E45:F45)</f>
        <v>346987</v>
      </c>
      <c r="H45" s="176"/>
      <c r="I45" s="289">
        <f t="shared" ref="I45:M47" si="11">$G45/5</f>
        <v>69397.399999999994</v>
      </c>
      <c r="J45" s="137">
        <f t="shared" si="11"/>
        <v>69397.399999999994</v>
      </c>
      <c r="K45" s="137">
        <f t="shared" si="11"/>
        <v>69397.399999999994</v>
      </c>
      <c r="L45" s="137">
        <f t="shared" si="11"/>
        <v>69397.399999999994</v>
      </c>
      <c r="M45" s="176">
        <f t="shared" si="11"/>
        <v>69397.399999999994</v>
      </c>
    </row>
    <row r="46" spans="2:16" x14ac:dyDescent="0.25">
      <c r="B46" s="185"/>
      <c r="C46" s="635" t="s">
        <v>477</v>
      </c>
      <c r="D46" s="635"/>
      <c r="E46" s="137">
        <f>'Total IDP'!F18*0.65</f>
        <v>68991</v>
      </c>
      <c r="F46" s="137">
        <f>'Total IDP'!F18*0.35</f>
        <v>37149</v>
      </c>
      <c r="G46" s="143">
        <f t="shared" si="10"/>
        <v>106140</v>
      </c>
      <c r="H46" s="176"/>
      <c r="I46" s="289">
        <f t="shared" si="11"/>
        <v>21228</v>
      </c>
      <c r="J46" s="137">
        <f t="shared" si="11"/>
        <v>21228</v>
      </c>
      <c r="K46" s="137">
        <f t="shared" si="11"/>
        <v>21228</v>
      </c>
      <c r="L46" s="137">
        <f t="shared" si="11"/>
        <v>21228</v>
      </c>
      <c r="M46" s="176">
        <f t="shared" si="11"/>
        <v>21228</v>
      </c>
    </row>
    <row r="47" spans="2:16" x14ac:dyDescent="0.25">
      <c r="B47" s="185"/>
      <c r="C47" s="635" t="s">
        <v>478</v>
      </c>
      <c r="D47" s="635"/>
      <c r="E47" s="137">
        <f>'Total IDP'!F19*0.65</f>
        <v>18135</v>
      </c>
      <c r="F47" s="137">
        <f>'Total IDP'!F19*0.35</f>
        <v>9765</v>
      </c>
      <c r="G47" s="143">
        <f t="shared" si="10"/>
        <v>27900</v>
      </c>
      <c r="H47" s="176"/>
      <c r="I47" s="289">
        <f t="shared" si="11"/>
        <v>5580</v>
      </c>
      <c r="J47" s="137">
        <f t="shared" si="11"/>
        <v>5580</v>
      </c>
      <c r="K47" s="137">
        <f t="shared" si="11"/>
        <v>5580</v>
      </c>
      <c r="L47" s="137">
        <f t="shared" si="11"/>
        <v>5580</v>
      </c>
      <c r="M47" s="176">
        <f t="shared" si="11"/>
        <v>5580</v>
      </c>
    </row>
    <row r="48" spans="2:16" x14ac:dyDescent="0.25">
      <c r="B48" s="185"/>
      <c r="C48" s="651" t="s">
        <v>164</v>
      </c>
      <c r="D48" s="651"/>
      <c r="G48" s="143"/>
      <c r="H48" s="176"/>
      <c r="I48" s="289"/>
      <c r="J48" s="137"/>
      <c r="K48" s="137"/>
      <c r="L48" s="137"/>
      <c r="M48" s="176"/>
    </row>
    <row r="49" spans="2:16" x14ac:dyDescent="0.25">
      <c r="B49" s="185"/>
      <c r="C49" s="635" t="s">
        <v>479</v>
      </c>
      <c r="D49" s="635"/>
      <c r="E49" s="137">
        <f>'Total IDP'!F64</f>
        <v>45000</v>
      </c>
      <c r="F49" s="137">
        <f>'Total IDP'!F65</f>
        <v>25000</v>
      </c>
      <c r="G49" s="143">
        <f t="shared" si="10"/>
        <v>70000</v>
      </c>
      <c r="H49" s="176"/>
      <c r="I49" s="289">
        <f t="shared" ref="I49:I52" si="12">$G49</f>
        <v>70000</v>
      </c>
      <c r="J49" s="137">
        <v>0</v>
      </c>
      <c r="K49" s="137">
        <v>0</v>
      </c>
      <c r="L49" s="137">
        <v>0</v>
      </c>
      <c r="M49" s="176">
        <v>0</v>
      </c>
    </row>
    <row r="50" spans="2:16" x14ac:dyDescent="0.25">
      <c r="B50" s="185"/>
      <c r="C50" s="635" t="s">
        <v>480</v>
      </c>
      <c r="D50" s="635"/>
      <c r="E50" s="137">
        <f>('Total IDP'!F67+'Total IDP'!F69+'Total IDP'!F70)/2</f>
        <v>5900</v>
      </c>
      <c r="F50" s="137">
        <f>('Total IDP'!F67+'Total IDP'!F69+'Total IDP'!F70)/2</f>
        <v>5900</v>
      </c>
      <c r="G50" s="143">
        <f t="shared" si="10"/>
        <v>11800</v>
      </c>
      <c r="H50" s="176"/>
      <c r="I50" s="289">
        <f t="shared" si="12"/>
        <v>11800</v>
      </c>
      <c r="J50" s="137">
        <v>0</v>
      </c>
      <c r="K50" s="137">
        <v>0</v>
      </c>
      <c r="L50" s="137">
        <v>0</v>
      </c>
      <c r="M50" s="176">
        <v>0</v>
      </c>
    </row>
    <row r="51" spans="2:16" x14ac:dyDescent="0.25">
      <c r="B51" s="185"/>
      <c r="C51" s="651" t="s">
        <v>347</v>
      </c>
      <c r="D51" s="651"/>
      <c r="G51" s="143"/>
      <c r="H51" s="176"/>
      <c r="I51" s="289"/>
      <c r="J51" s="137"/>
      <c r="K51" s="137"/>
      <c r="L51" s="137"/>
      <c r="M51" s="176"/>
    </row>
    <row r="52" spans="2:16" x14ac:dyDescent="0.25">
      <c r="B52" s="185"/>
      <c r="C52" s="635" t="s">
        <v>481</v>
      </c>
      <c r="D52" s="635"/>
      <c r="E52" s="137">
        <v>7500</v>
      </c>
      <c r="F52" s="137">
        <v>7500</v>
      </c>
      <c r="G52" s="143">
        <f t="shared" si="10"/>
        <v>15000</v>
      </c>
      <c r="H52" s="176"/>
      <c r="I52" s="289">
        <f t="shared" si="12"/>
        <v>15000</v>
      </c>
      <c r="J52" s="137">
        <v>0</v>
      </c>
      <c r="K52" s="137">
        <v>0</v>
      </c>
      <c r="L52" s="137">
        <v>0</v>
      </c>
      <c r="M52" s="176">
        <v>0</v>
      </c>
    </row>
    <row r="53" spans="2:16" x14ac:dyDescent="0.25">
      <c r="B53" s="185"/>
      <c r="C53" s="651" t="s">
        <v>166</v>
      </c>
      <c r="D53" s="651"/>
      <c r="G53" s="143"/>
      <c r="H53" s="176"/>
      <c r="I53" s="289"/>
      <c r="J53" s="137"/>
      <c r="K53" s="137"/>
      <c r="L53" s="137"/>
      <c r="M53" s="176"/>
    </row>
    <row r="54" spans="2:16" x14ac:dyDescent="0.25">
      <c r="B54" s="185"/>
      <c r="C54" s="635" t="s">
        <v>492</v>
      </c>
      <c r="D54" s="635"/>
      <c r="E54" s="137">
        <f>('Total IDP'!F56*0.6)+('Total IDP'!F57*0.5)</f>
        <v>41323.5</v>
      </c>
      <c r="F54" s="137">
        <f>('Total IDP'!F56*0.4)+('Total IDP'!F57*0.5)</f>
        <v>32896.5</v>
      </c>
      <c r="G54" s="143">
        <f t="shared" si="10"/>
        <v>74220</v>
      </c>
      <c r="H54" s="176"/>
      <c r="I54" s="289">
        <f t="shared" ref="I54:M60" si="13">$G54/5</f>
        <v>14844</v>
      </c>
      <c r="J54" s="137">
        <f t="shared" si="13"/>
        <v>14844</v>
      </c>
      <c r="K54" s="137">
        <f t="shared" si="13"/>
        <v>14844</v>
      </c>
      <c r="L54" s="137">
        <f t="shared" si="13"/>
        <v>14844</v>
      </c>
      <c r="M54" s="176">
        <f t="shared" si="13"/>
        <v>14844</v>
      </c>
    </row>
    <row r="55" spans="2:16" x14ac:dyDescent="0.25">
      <c r="B55" s="185"/>
      <c r="C55" s="635" t="s">
        <v>482</v>
      </c>
      <c r="D55" s="635"/>
      <c r="E55" s="137">
        <f>'Total IDP'!F25/2</f>
        <v>19500</v>
      </c>
      <c r="F55" s="137">
        <f>'Total IDP'!F24/2</f>
        <v>19500</v>
      </c>
      <c r="G55" s="143">
        <f t="shared" si="10"/>
        <v>39000</v>
      </c>
      <c r="H55" s="176"/>
      <c r="I55" s="289">
        <f t="shared" si="13"/>
        <v>7800</v>
      </c>
      <c r="J55" s="137">
        <f t="shared" si="13"/>
        <v>7800</v>
      </c>
      <c r="K55" s="137">
        <f t="shared" si="13"/>
        <v>7800</v>
      </c>
      <c r="L55" s="137">
        <f t="shared" si="13"/>
        <v>7800</v>
      </c>
      <c r="M55" s="176">
        <f t="shared" si="13"/>
        <v>7800</v>
      </c>
    </row>
    <row r="56" spans="2:16" x14ac:dyDescent="0.25">
      <c r="B56" s="185"/>
      <c r="C56" s="635" t="s">
        <v>483</v>
      </c>
      <c r="D56" s="635"/>
      <c r="E56" s="137">
        <f>200*4*5</f>
        <v>4000</v>
      </c>
      <c r="F56" s="137">
        <f>200*4*5</f>
        <v>4000</v>
      </c>
      <c r="G56" s="143">
        <f t="shared" si="10"/>
        <v>8000</v>
      </c>
      <c r="H56" s="176"/>
      <c r="I56" s="289">
        <f t="shared" si="13"/>
        <v>1600</v>
      </c>
      <c r="J56" s="137">
        <f t="shared" si="13"/>
        <v>1600</v>
      </c>
      <c r="K56" s="137">
        <f t="shared" si="13"/>
        <v>1600</v>
      </c>
      <c r="L56" s="137">
        <f t="shared" si="13"/>
        <v>1600</v>
      </c>
      <c r="M56" s="176">
        <f t="shared" si="13"/>
        <v>1600</v>
      </c>
    </row>
    <row r="57" spans="2:16" ht="15.75" customHeight="1" x14ac:dyDescent="0.25">
      <c r="B57" s="183"/>
      <c r="C57" s="640" t="s">
        <v>484</v>
      </c>
      <c r="D57" s="640"/>
      <c r="E57" s="138">
        <f>SUM(E58:E61)</f>
        <v>217500</v>
      </c>
      <c r="F57" s="138">
        <f>SUM(F58:F61)</f>
        <v>373500</v>
      </c>
      <c r="G57" s="317">
        <f>SUM(G58:G61)</f>
        <v>591000</v>
      </c>
      <c r="H57" s="184"/>
      <c r="I57" s="295">
        <f>SUM(I58:I61)</f>
        <v>134200</v>
      </c>
      <c r="J57" s="149">
        <f>SUM(J58:J61)</f>
        <v>114200</v>
      </c>
      <c r="K57" s="149">
        <f>SUM(K58:K61)</f>
        <v>114200</v>
      </c>
      <c r="L57" s="149">
        <f>SUM(L58:L61)</f>
        <v>114200</v>
      </c>
      <c r="M57" s="296">
        <f>SUM(M58:M61)</f>
        <v>114200</v>
      </c>
      <c r="O57" s="298">
        <f>SUM(I57:N57)</f>
        <v>591000</v>
      </c>
      <c r="P57" s="298">
        <f>G57-O57</f>
        <v>0</v>
      </c>
    </row>
    <row r="58" spans="2:16" ht="15.75" customHeight="1" x14ac:dyDescent="0.25">
      <c r="B58" s="185"/>
      <c r="C58" s="635" t="s">
        <v>167</v>
      </c>
      <c r="D58" s="635"/>
      <c r="E58" s="137">
        <f>LCDO!J15</f>
        <v>160000</v>
      </c>
      <c r="F58" s="143">
        <f>OIKOS!P18</f>
        <v>245100</v>
      </c>
      <c r="G58" s="143">
        <f t="shared" ref="G58:G80" si="14">SUM(E58:F58)</f>
        <v>405100</v>
      </c>
      <c r="H58" s="176"/>
      <c r="I58" s="289">
        <f t="shared" si="13"/>
        <v>81020</v>
      </c>
      <c r="J58" s="137">
        <f t="shared" si="13"/>
        <v>81020</v>
      </c>
      <c r="K58" s="137">
        <f t="shared" si="13"/>
        <v>81020</v>
      </c>
      <c r="L58" s="137">
        <f t="shared" si="13"/>
        <v>81020</v>
      </c>
      <c r="M58" s="176">
        <f t="shared" si="13"/>
        <v>81020</v>
      </c>
    </row>
    <row r="59" spans="2:16" ht="15.75" customHeight="1" x14ac:dyDescent="0.25">
      <c r="B59" s="185"/>
      <c r="C59" s="635" t="s">
        <v>166</v>
      </c>
      <c r="D59" s="635"/>
      <c r="E59" s="137">
        <f>LCDO!J22</f>
        <v>22500</v>
      </c>
      <c r="F59" s="143">
        <f>OIKOS!P24</f>
        <v>62400</v>
      </c>
      <c r="G59" s="143">
        <f t="shared" si="14"/>
        <v>84900</v>
      </c>
      <c r="H59" s="176"/>
      <c r="I59" s="289">
        <f t="shared" si="13"/>
        <v>16980</v>
      </c>
      <c r="J59" s="137">
        <f t="shared" si="13"/>
        <v>16980</v>
      </c>
      <c r="K59" s="137">
        <f t="shared" si="13"/>
        <v>16980</v>
      </c>
      <c r="L59" s="137">
        <f t="shared" si="13"/>
        <v>16980</v>
      </c>
      <c r="M59" s="176">
        <f t="shared" si="13"/>
        <v>16980</v>
      </c>
    </row>
    <row r="60" spans="2:16" ht="15.75" customHeight="1" x14ac:dyDescent="0.25">
      <c r="B60" s="185"/>
      <c r="C60" s="635" t="s">
        <v>493</v>
      </c>
      <c r="D60" s="635"/>
      <c r="E60" s="137">
        <f>LCDO!J28</f>
        <v>25000</v>
      </c>
      <c r="F60" s="143">
        <f>OIKOS!P29</f>
        <v>56000</v>
      </c>
      <c r="G60" s="143">
        <f t="shared" si="14"/>
        <v>81000</v>
      </c>
      <c r="H60" s="176"/>
      <c r="I60" s="289">
        <f t="shared" si="13"/>
        <v>16200</v>
      </c>
      <c r="J60" s="137">
        <f t="shared" si="13"/>
        <v>16200</v>
      </c>
      <c r="K60" s="137">
        <f t="shared" si="13"/>
        <v>16200</v>
      </c>
      <c r="L60" s="137">
        <f t="shared" si="13"/>
        <v>16200</v>
      </c>
      <c r="M60" s="176">
        <f t="shared" si="13"/>
        <v>16200</v>
      </c>
    </row>
    <row r="61" spans="2:16" ht="15.75" customHeight="1" x14ac:dyDescent="0.25">
      <c r="B61" s="185"/>
      <c r="C61" s="635" t="s">
        <v>491</v>
      </c>
      <c r="D61" s="635"/>
      <c r="E61" s="137">
        <f>LCDO!J38</f>
        <v>10000</v>
      </c>
      <c r="F61" s="143">
        <f>OIKOS!P35</f>
        <v>10000</v>
      </c>
      <c r="G61" s="143">
        <f t="shared" si="14"/>
        <v>20000</v>
      </c>
      <c r="H61" s="176"/>
      <c r="I61" s="289">
        <f t="shared" ref="I61" si="15">$G61</f>
        <v>20000</v>
      </c>
      <c r="J61" s="137">
        <v>0</v>
      </c>
      <c r="K61" s="137">
        <v>0</v>
      </c>
      <c r="L61" s="137">
        <v>0</v>
      </c>
      <c r="M61" s="176">
        <v>0</v>
      </c>
    </row>
    <row r="62" spans="2:16" ht="33" customHeight="1" x14ac:dyDescent="0.25">
      <c r="B62" s="183" t="s">
        <v>170</v>
      </c>
      <c r="C62" s="640" t="s">
        <v>163</v>
      </c>
      <c r="D62" s="640"/>
      <c r="E62" s="138">
        <f>SUM(E63:E66)</f>
        <v>40000</v>
      </c>
      <c r="F62" s="138">
        <f>SUM(F63:F66)</f>
        <v>35000</v>
      </c>
      <c r="G62" s="317">
        <f>SUM(G63:G66)</f>
        <v>75000</v>
      </c>
      <c r="H62" s="184"/>
      <c r="I62" s="295">
        <f t="shared" ref="I62:M62" si="16">SUM(I63:I66)</f>
        <v>37500</v>
      </c>
      <c r="J62" s="149">
        <f t="shared" si="16"/>
        <v>37500</v>
      </c>
      <c r="K62" s="149">
        <f t="shared" si="16"/>
        <v>0</v>
      </c>
      <c r="L62" s="149">
        <f t="shared" si="16"/>
        <v>0</v>
      </c>
      <c r="M62" s="296">
        <f t="shared" si="16"/>
        <v>0</v>
      </c>
      <c r="O62" s="298">
        <f>SUM(I62:N62)</f>
        <v>75000</v>
      </c>
      <c r="P62" s="298">
        <f>G62-O62</f>
        <v>0</v>
      </c>
    </row>
    <row r="63" spans="2:16" ht="15.75" customHeight="1" x14ac:dyDescent="0.25">
      <c r="B63" s="185" t="s">
        <v>174</v>
      </c>
      <c r="C63" s="635" t="s">
        <v>162</v>
      </c>
      <c r="D63" s="635"/>
      <c r="E63" s="137">
        <f>800*8</f>
        <v>6400</v>
      </c>
      <c r="F63" s="137">
        <f>800*7</f>
        <v>5600</v>
      </c>
      <c r="G63" s="143">
        <f t="shared" si="14"/>
        <v>12000</v>
      </c>
      <c r="H63" s="176"/>
      <c r="I63" s="289">
        <f>$G63</f>
        <v>12000</v>
      </c>
      <c r="J63" s="137">
        <v>0</v>
      </c>
      <c r="K63" s="137">
        <v>0</v>
      </c>
      <c r="L63" s="137">
        <v>0</v>
      </c>
      <c r="M63" s="176">
        <v>0</v>
      </c>
    </row>
    <row r="64" spans="2:16" ht="15.75" customHeight="1" x14ac:dyDescent="0.25">
      <c r="B64" s="185" t="s">
        <v>175</v>
      </c>
      <c r="C64" s="635" t="s">
        <v>161</v>
      </c>
      <c r="D64" s="635"/>
      <c r="E64" s="137">
        <f>200*8</f>
        <v>1600</v>
      </c>
      <c r="F64" s="137">
        <f>200*7</f>
        <v>1400</v>
      </c>
      <c r="G64" s="143">
        <f t="shared" si="14"/>
        <v>3000</v>
      </c>
      <c r="H64" s="176"/>
      <c r="I64" s="289">
        <f>$G64</f>
        <v>3000</v>
      </c>
      <c r="J64" s="137">
        <v>0</v>
      </c>
      <c r="K64" s="137">
        <v>0</v>
      </c>
      <c r="L64" s="137">
        <v>0</v>
      </c>
      <c r="M64" s="176">
        <v>0</v>
      </c>
    </row>
    <row r="65" spans="2:16" ht="15.75" customHeight="1" x14ac:dyDescent="0.25">
      <c r="B65" s="185" t="s">
        <v>176</v>
      </c>
      <c r="C65" s="635" t="s">
        <v>160</v>
      </c>
      <c r="D65" s="635"/>
      <c r="E65" s="137">
        <f>3000*8</f>
        <v>24000</v>
      </c>
      <c r="F65" s="137">
        <f>3000*7</f>
        <v>21000</v>
      </c>
      <c r="G65" s="143">
        <f t="shared" si="14"/>
        <v>45000</v>
      </c>
      <c r="H65" s="176"/>
      <c r="I65" s="289">
        <f>$G65*0.5</f>
        <v>22500</v>
      </c>
      <c r="J65" s="137">
        <f>$G65*0.5</f>
        <v>22500</v>
      </c>
      <c r="K65" s="137">
        <v>0</v>
      </c>
      <c r="L65" s="137">
        <v>0</v>
      </c>
      <c r="M65" s="176">
        <v>0</v>
      </c>
    </row>
    <row r="66" spans="2:16" ht="15.75" customHeight="1" x14ac:dyDescent="0.25">
      <c r="B66" s="185" t="s">
        <v>177</v>
      </c>
      <c r="C66" s="635" t="s">
        <v>159</v>
      </c>
      <c r="D66" s="635"/>
      <c r="E66" s="137">
        <f>1000*8</f>
        <v>8000</v>
      </c>
      <c r="F66" s="137">
        <f>1000*7</f>
        <v>7000</v>
      </c>
      <c r="G66" s="143">
        <f t="shared" si="14"/>
        <v>15000</v>
      </c>
      <c r="H66" s="176"/>
      <c r="I66" s="289">
        <v>0</v>
      </c>
      <c r="J66" s="137">
        <f>G66</f>
        <v>15000</v>
      </c>
      <c r="K66" s="137">
        <v>0</v>
      </c>
      <c r="L66" s="137">
        <v>0</v>
      </c>
      <c r="M66" s="176">
        <v>0</v>
      </c>
    </row>
    <row r="67" spans="2:16" ht="33" customHeight="1" x14ac:dyDescent="0.25">
      <c r="B67" s="183" t="s">
        <v>171</v>
      </c>
      <c r="C67" s="640" t="s">
        <v>158</v>
      </c>
      <c r="D67" s="640"/>
      <c r="E67" s="138">
        <f>SUM(E68:E71)</f>
        <v>350000</v>
      </c>
      <c r="F67" s="138">
        <f>SUM(F68:F71)</f>
        <v>280000</v>
      </c>
      <c r="G67" s="317">
        <f>SUM(G68:G71)</f>
        <v>630000</v>
      </c>
      <c r="H67" s="184"/>
      <c r="I67" s="295">
        <f t="shared" ref="I67:M67" si="17">SUM(I68:I71)</f>
        <v>10500</v>
      </c>
      <c r="J67" s="149">
        <f t="shared" si="17"/>
        <v>416250</v>
      </c>
      <c r="K67" s="149">
        <f t="shared" si="17"/>
        <v>203250</v>
      </c>
      <c r="L67" s="149">
        <f t="shared" si="17"/>
        <v>0</v>
      </c>
      <c r="M67" s="296">
        <f t="shared" si="17"/>
        <v>0</v>
      </c>
      <c r="O67" s="298">
        <f>SUM(I67:N67)</f>
        <v>630000</v>
      </c>
      <c r="P67" s="298">
        <f>G67-O67</f>
        <v>0</v>
      </c>
    </row>
    <row r="68" spans="2:16" ht="15.75" customHeight="1" x14ac:dyDescent="0.25">
      <c r="B68" s="185" t="s">
        <v>178</v>
      </c>
      <c r="C68" s="635" t="s">
        <v>157</v>
      </c>
      <c r="D68" s="635"/>
      <c r="E68" s="137">
        <f>250*5</f>
        <v>1250</v>
      </c>
      <c r="F68" s="137">
        <f>250*4</f>
        <v>1000</v>
      </c>
      <c r="G68" s="143">
        <f t="shared" si="14"/>
        <v>2250</v>
      </c>
      <c r="H68" s="176"/>
      <c r="I68" s="289">
        <f>G68/9*6</f>
        <v>1500</v>
      </c>
      <c r="J68" s="137">
        <f>G68/9*3</f>
        <v>750</v>
      </c>
      <c r="K68" s="137">
        <v>0</v>
      </c>
      <c r="L68" s="137">
        <v>0</v>
      </c>
      <c r="M68" s="176">
        <v>0</v>
      </c>
    </row>
    <row r="69" spans="2:16" ht="15.75" customHeight="1" x14ac:dyDescent="0.25">
      <c r="B69" s="185" t="s">
        <v>179</v>
      </c>
      <c r="C69" s="635" t="s">
        <v>156</v>
      </c>
      <c r="D69" s="635"/>
      <c r="E69" s="137">
        <f>2000*5</f>
        <v>10000</v>
      </c>
      <c r="F69" s="137">
        <f>2000*4</f>
        <v>8000</v>
      </c>
      <c r="G69" s="143">
        <f t="shared" si="14"/>
        <v>18000</v>
      </c>
      <c r="H69" s="176"/>
      <c r="I69" s="289">
        <f>(G69/9*6)*0.75</f>
        <v>9000</v>
      </c>
      <c r="J69" s="137">
        <f>((G69/9*6)*0.25)+(G69/9*3)</f>
        <v>9000</v>
      </c>
      <c r="K69" s="137">
        <v>0</v>
      </c>
      <c r="L69" s="137">
        <v>0</v>
      </c>
      <c r="M69" s="176">
        <v>0</v>
      </c>
    </row>
    <row r="70" spans="2:16" ht="15.75" customHeight="1" x14ac:dyDescent="0.25">
      <c r="B70" s="185" t="s">
        <v>180</v>
      </c>
      <c r="C70" s="635" t="s">
        <v>152</v>
      </c>
      <c r="D70" s="635"/>
      <c r="E70" s="137">
        <f>250*5</f>
        <v>1250</v>
      </c>
      <c r="F70" s="137">
        <f>250*4</f>
        <v>1000</v>
      </c>
      <c r="G70" s="143">
        <f t="shared" si="14"/>
        <v>2250</v>
      </c>
      <c r="H70" s="176"/>
      <c r="I70" s="289">
        <v>0</v>
      </c>
      <c r="J70" s="137">
        <f>G70/9*6</f>
        <v>1500</v>
      </c>
      <c r="K70" s="137">
        <f>G70/9*3</f>
        <v>750</v>
      </c>
      <c r="L70" s="137">
        <v>0</v>
      </c>
      <c r="M70" s="176">
        <v>0</v>
      </c>
    </row>
    <row r="71" spans="2:16" ht="15.75" customHeight="1" x14ac:dyDescent="0.25">
      <c r="B71" s="185" t="s">
        <v>181</v>
      </c>
      <c r="C71" s="635" t="s">
        <v>151</v>
      </c>
      <c r="D71" s="635"/>
      <c r="E71" s="137">
        <f>67500*5</f>
        <v>337500</v>
      </c>
      <c r="F71" s="137">
        <f>67500*4</f>
        <v>270000</v>
      </c>
      <c r="G71" s="143">
        <f t="shared" si="14"/>
        <v>607500</v>
      </c>
      <c r="H71" s="176"/>
      <c r="I71" s="289">
        <v>0</v>
      </c>
      <c r="J71" s="137">
        <f>G71/9*6</f>
        <v>405000</v>
      </c>
      <c r="K71" s="137">
        <f>G71/9*3</f>
        <v>202500</v>
      </c>
      <c r="L71" s="137">
        <v>0</v>
      </c>
      <c r="M71" s="176">
        <v>0</v>
      </c>
    </row>
    <row r="72" spans="2:16" ht="33" customHeight="1" x14ac:dyDescent="0.25">
      <c r="B72" s="183" t="s">
        <v>172</v>
      </c>
      <c r="C72" s="640" t="s">
        <v>155</v>
      </c>
      <c r="D72" s="640"/>
      <c r="E72" s="138">
        <f>SUM(E73:E76)</f>
        <v>300000</v>
      </c>
      <c r="F72" s="138">
        <f>SUM(F73:F76)</f>
        <v>300000</v>
      </c>
      <c r="G72" s="317">
        <f>SUM(G73:G76)</f>
        <v>600000</v>
      </c>
      <c r="H72" s="184"/>
      <c r="I72" s="295">
        <f t="shared" ref="I72:M72" si="18">SUM(I73:I76)</f>
        <v>0</v>
      </c>
      <c r="J72" s="149">
        <f t="shared" si="18"/>
        <v>38000</v>
      </c>
      <c r="K72" s="149">
        <f t="shared" si="18"/>
        <v>381000</v>
      </c>
      <c r="L72" s="149">
        <f t="shared" si="18"/>
        <v>181000</v>
      </c>
      <c r="M72" s="296">
        <f t="shared" si="18"/>
        <v>0</v>
      </c>
      <c r="O72" s="298">
        <f>SUM(I72:N72)</f>
        <v>600000</v>
      </c>
      <c r="P72" s="298">
        <f>G72-O72</f>
        <v>0</v>
      </c>
    </row>
    <row r="73" spans="2:16" ht="15.75" customHeight="1" x14ac:dyDescent="0.25">
      <c r="B73" s="185" t="s">
        <v>182</v>
      </c>
      <c r="C73" s="635" t="s">
        <v>154</v>
      </c>
      <c r="D73" s="635"/>
      <c r="E73" s="137">
        <f>500*3</f>
        <v>1500</v>
      </c>
      <c r="F73" s="137">
        <f>500*3</f>
        <v>1500</v>
      </c>
      <c r="G73" s="143">
        <f t="shared" si="14"/>
        <v>3000</v>
      </c>
      <c r="H73" s="176"/>
      <c r="I73" s="289">
        <v>0</v>
      </c>
      <c r="J73" s="137">
        <f>G73/6*4</f>
        <v>2000</v>
      </c>
      <c r="K73" s="137">
        <f>G73/6*2</f>
        <v>1000</v>
      </c>
      <c r="L73" s="137">
        <v>0</v>
      </c>
      <c r="M73" s="176">
        <v>0</v>
      </c>
    </row>
    <row r="74" spans="2:16" ht="15.75" customHeight="1" x14ac:dyDescent="0.25">
      <c r="B74" s="185" t="s">
        <v>183</v>
      </c>
      <c r="C74" s="635" t="s">
        <v>153</v>
      </c>
      <c r="D74" s="635"/>
      <c r="E74" s="137">
        <f>9000*3</f>
        <v>27000</v>
      </c>
      <c r="F74" s="137">
        <f>9000*3</f>
        <v>27000</v>
      </c>
      <c r="G74" s="143">
        <f t="shared" si="14"/>
        <v>54000</v>
      </c>
      <c r="H74" s="176"/>
      <c r="I74" s="289">
        <v>0</v>
      </c>
      <c r="J74" s="137">
        <f>G74/6*4</f>
        <v>36000</v>
      </c>
      <c r="K74" s="137">
        <f>G74/6*2</f>
        <v>18000</v>
      </c>
      <c r="L74" s="137">
        <v>0</v>
      </c>
      <c r="M74" s="176">
        <v>0</v>
      </c>
    </row>
    <row r="75" spans="2:16" ht="15.75" customHeight="1" x14ac:dyDescent="0.25">
      <c r="B75" s="185" t="s">
        <v>184</v>
      </c>
      <c r="C75" s="635" t="s">
        <v>152</v>
      </c>
      <c r="D75" s="635"/>
      <c r="E75" s="137">
        <f>500*3</f>
        <v>1500</v>
      </c>
      <c r="F75" s="137">
        <f>500*3</f>
        <v>1500</v>
      </c>
      <c r="G75" s="143">
        <f t="shared" si="14"/>
        <v>3000</v>
      </c>
      <c r="H75" s="176"/>
      <c r="I75" s="289">
        <v>0</v>
      </c>
      <c r="J75" s="137">
        <v>0</v>
      </c>
      <c r="K75" s="137">
        <f>G75/6*4</f>
        <v>2000</v>
      </c>
      <c r="L75" s="137">
        <f>G75/6*2</f>
        <v>1000</v>
      </c>
      <c r="M75" s="176">
        <v>0</v>
      </c>
    </row>
    <row r="76" spans="2:16" ht="15.75" customHeight="1" x14ac:dyDescent="0.25">
      <c r="B76" s="185" t="s">
        <v>185</v>
      </c>
      <c r="C76" s="635" t="s">
        <v>151</v>
      </c>
      <c r="D76" s="635"/>
      <c r="E76" s="137">
        <f>90000*3</f>
        <v>270000</v>
      </c>
      <c r="F76" s="137">
        <f>90000*3</f>
        <v>270000</v>
      </c>
      <c r="G76" s="143">
        <f t="shared" si="14"/>
        <v>540000</v>
      </c>
      <c r="H76" s="176"/>
      <c r="I76" s="289">
        <v>0</v>
      </c>
      <c r="J76" s="137">
        <v>0</v>
      </c>
      <c r="K76" s="137">
        <f>G76/6*4</f>
        <v>360000</v>
      </c>
      <c r="L76" s="137">
        <f>G76/6*2</f>
        <v>180000</v>
      </c>
      <c r="M76" s="176">
        <v>0</v>
      </c>
    </row>
    <row r="77" spans="2:16" ht="33" customHeight="1" x14ac:dyDescent="0.25">
      <c r="B77" s="183" t="s">
        <v>173</v>
      </c>
      <c r="C77" s="640" t="s">
        <v>150</v>
      </c>
      <c r="D77" s="640"/>
      <c r="E77" s="138">
        <f>SUM(E78:E80)</f>
        <v>46000</v>
      </c>
      <c r="F77" s="138">
        <f>SUM(F78:F80)</f>
        <v>40500</v>
      </c>
      <c r="G77" s="317">
        <f>SUM(G78:G80)</f>
        <v>86500</v>
      </c>
      <c r="H77" s="184"/>
      <c r="I77" s="295">
        <f t="shared" ref="I77:M77" si="19">SUM(I78:I80)</f>
        <v>800</v>
      </c>
      <c r="J77" s="149">
        <f t="shared" si="19"/>
        <v>28067.857142857145</v>
      </c>
      <c r="K77" s="149">
        <f t="shared" si="19"/>
        <v>47032.142857142855</v>
      </c>
      <c r="L77" s="149">
        <f t="shared" si="19"/>
        <v>8103.5714285714294</v>
      </c>
      <c r="M77" s="296">
        <f t="shared" si="19"/>
        <v>2496.4285714285716</v>
      </c>
      <c r="O77" s="298">
        <f>SUM(I77:N77)</f>
        <v>86500</v>
      </c>
      <c r="P77" s="298">
        <f>G77-O77</f>
        <v>0</v>
      </c>
    </row>
    <row r="78" spans="2:16" ht="15.75" customHeight="1" x14ac:dyDescent="0.25">
      <c r="B78" s="185" t="s">
        <v>186</v>
      </c>
      <c r="C78" s="635" t="s">
        <v>318</v>
      </c>
      <c r="D78" s="635"/>
      <c r="E78" s="137">
        <f>(2000*8)+(400*5)</f>
        <v>18000</v>
      </c>
      <c r="F78" s="137">
        <f>(2000*7)+(400*5)</f>
        <v>16000</v>
      </c>
      <c r="G78" s="143">
        <f t="shared" si="14"/>
        <v>34000</v>
      </c>
      <c r="H78" s="176"/>
      <c r="I78" s="289">
        <f>800</f>
        <v>800</v>
      </c>
      <c r="J78" s="137">
        <f>(2000*6)+800</f>
        <v>12800</v>
      </c>
      <c r="K78" s="137">
        <f>(2000*7)+800</f>
        <v>14800</v>
      </c>
      <c r="L78" s="137">
        <f>(2000*2)+800</f>
        <v>4800</v>
      </c>
      <c r="M78" s="176">
        <f>800</f>
        <v>800</v>
      </c>
    </row>
    <row r="79" spans="2:16" ht="15.75" customHeight="1" x14ac:dyDescent="0.25">
      <c r="B79" s="185" t="s">
        <v>187</v>
      </c>
      <c r="C79" s="635" t="s">
        <v>254</v>
      </c>
      <c r="D79" s="635"/>
      <c r="E79" s="137">
        <f>500*8</f>
        <v>4000</v>
      </c>
      <c r="F79" s="137">
        <f>500*7</f>
        <v>3500</v>
      </c>
      <c r="G79" s="143">
        <f t="shared" si="14"/>
        <v>7500</v>
      </c>
      <c r="H79" s="176"/>
      <c r="I79" s="289">
        <v>0</v>
      </c>
      <c r="J79" s="137">
        <f>G79/168*6</f>
        <v>267.85714285714289</v>
      </c>
      <c r="K79" s="137">
        <f>G79/168*50</f>
        <v>2232.1428571428573</v>
      </c>
      <c r="L79" s="137">
        <f>G79/168*74</f>
        <v>3303.5714285714289</v>
      </c>
      <c r="M79" s="176">
        <f>G79/168*38</f>
        <v>1696.4285714285716</v>
      </c>
    </row>
    <row r="80" spans="2:16" ht="15.75" customHeight="1" x14ac:dyDescent="0.25">
      <c r="B80" s="185" t="s">
        <v>188</v>
      </c>
      <c r="C80" s="635" t="s">
        <v>149</v>
      </c>
      <c r="D80" s="635"/>
      <c r="E80" s="137">
        <f>3000*8</f>
        <v>24000</v>
      </c>
      <c r="F80" s="137">
        <f>3000*7</f>
        <v>21000</v>
      </c>
      <c r="G80" s="143">
        <f t="shared" si="14"/>
        <v>45000</v>
      </c>
      <c r="H80" s="176"/>
      <c r="I80" s="289">
        <v>0</v>
      </c>
      <c r="J80" s="137">
        <f>G80/3</f>
        <v>15000</v>
      </c>
      <c r="K80" s="137">
        <f>G80/3*2</f>
        <v>30000</v>
      </c>
      <c r="L80" s="137">
        <v>0</v>
      </c>
      <c r="M80" s="176">
        <v>0</v>
      </c>
    </row>
    <row r="81" spans="2:16" ht="15.75" customHeight="1" x14ac:dyDescent="0.25">
      <c r="B81" s="185"/>
      <c r="C81" s="635"/>
      <c r="D81" s="635"/>
      <c r="H81" s="176"/>
      <c r="I81" s="289"/>
      <c r="J81" s="137"/>
      <c r="K81" s="137"/>
      <c r="L81" s="137"/>
      <c r="M81" s="176"/>
    </row>
    <row r="82" spans="2:16" ht="15.75" customHeight="1" x14ac:dyDescent="0.25">
      <c r="B82" s="186"/>
      <c r="C82" s="636" t="s">
        <v>485</v>
      </c>
      <c r="D82" s="636"/>
      <c r="E82" s="187"/>
      <c r="F82" s="187"/>
      <c r="G82" s="187">
        <f>((G5+G41)/94)*6</f>
        <v>191467.91489361704</v>
      </c>
      <c r="H82" s="188">
        <f>G82/G3</f>
        <v>6.0000000000000005E-2</v>
      </c>
      <c r="I82" s="299">
        <f>((I5+I41)/94)*6</f>
        <v>29690.604255319151</v>
      </c>
      <c r="J82" s="187">
        <f>((J5+J41)/94)*6</f>
        <v>51719.403647416417</v>
      </c>
      <c r="K82" s="187">
        <f>((K5+K41)/94)*6</f>
        <v>60749.038905775073</v>
      </c>
      <c r="L82" s="187">
        <f>((L5+L41)/94)*6</f>
        <v>30609.981155015201</v>
      </c>
      <c r="M82" s="300">
        <f>((M5+M41)/94)*6</f>
        <v>18698.886930091187</v>
      </c>
      <c r="O82" s="298">
        <f>SUM(I82:N82)</f>
        <v>191467.91489361704</v>
      </c>
      <c r="P82" s="298">
        <f>G82-O82</f>
        <v>0</v>
      </c>
    </row>
    <row r="84" spans="2:16" ht="15.75" customHeight="1" x14ac:dyDescent="0.25">
      <c r="B84" s="647" t="s">
        <v>490</v>
      </c>
      <c r="C84" s="159"/>
      <c r="D84" s="161"/>
      <c r="E84" s="160"/>
      <c r="F84" s="161" t="s">
        <v>486</v>
      </c>
      <c r="G84" s="160">
        <f>G3-G82</f>
        <v>2999664</v>
      </c>
      <c r="H84" s="162"/>
    </row>
    <row r="85" spans="2:16" ht="15.75" customHeight="1" x14ac:dyDescent="0.25">
      <c r="B85" s="648"/>
      <c r="C85" s="163"/>
      <c r="D85" s="151"/>
      <c r="E85" s="152"/>
      <c r="F85" s="151" t="s">
        <v>487</v>
      </c>
      <c r="G85" s="152">
        <f>G3</f>
        <v>3191131.9148936169</v>
      </c>
      <c r="H85" s="164"/>
    </row>
    <row r="86" spans="2:16" ht="15.75" customHeight="1" x14ac:dyDescent="0.25">
      <c r="B86" s="648"/>
      <c r="C86" s="163"/>
      <c r="D86" s="151"/>
      <c r="E86" s="152"/>
      <c r="F86" s="151"/>
      <c r="G86" s="152"/>
      <c r="H86" s="164"/>
    </row>
    <row r="87" spans="2:16" ht="15.75" customHeight="1" x14ac:dyDescent="0.25">
      <c r="B87" s="648"/>
      <c r="C87" s="163"/>
      <c r="D87" s="151"/>
      <c r="E87" s="152"/>
      <c r="F87" s="151" t="s">
        <v>488</v>
      </c>
      <c r="G87" s="152">
        <f>G85*0.85</f>
        <v>2712462.1276595742</v>
      </c>
      <c r="H87" s="164"/>
    </row>
    <row r="88" spans="2:16" ht="15.75" customHeight="1" x14ac:dyDescent="0.25">
      <c r="B88" s="649"/>
      <c r="C88" s="165"/>
      <c r="D88" s="167"/>
      <c r="E88" s="166"/>
      <c r="F88" s="167" t="s">
        <v>489</v>
      </c>
      <c r="G88" s="166">
        <f>G85*0.15</f>
        <v>478669.78723404254</v>
      </c>
      <c r="H88" s="168"/>
    </row>
    <row r="89" spans="2:16" ht="15" customHeight="1" x14ac:dyDescent="0.25"/>
    <row r="90" spans="2:16" ht="15.75" x14ac:dyDescent="0.25">
      <c r="B90" s="644" t="s">
        <v>261</v>
      </c>
      <c r="C90" s="169" t="s">
        <v>194</v>
      </c>
      <c r="D90" s="305"/>
      <c r="E90" s="153"/>
      <c r="F90" s="153"/>
      <c r="G90" s="153">
        <f>SUM(G91:G93)</f>
        <v>4810</v>
      </c>
      <c r="H90" s="154"/>
    </row>
    <row r="91" spans="2:16" ht="15.75" customHeight="1" x14ac:dyDescent="0.25">
      <c r="B91" s="645"/>
      <c r="C91" s="170" t="s">
        <v>195</v>
      </c>
      <c r="D91" s="306"/>
      <c r="E91" s="150"/>
      <c r="F91" s="150"/>
      <c r="G91" s="150">
        <f>'Total IDP'!F71</f>
        <v>4810</v>
      </c>
      <c r="H91" s="155"/>
    </row>
    <row r="92" spans="2:16" ht="15.75" customHeight="1" x14ac:dyDescent="0.25">
      <c r="B92" s="645"/>
      <c r="C92" s="170"/>
      <c r="D92" s="306"/>
      <c r="E92" s="150"/>
      <c r="F92" s="150"/>
      <c r="G92" s="150"/>
      <c r="H92" s="155"/>
    </row>
    <row r="93" spans="2:16" ht="15.75" customHeight="1" x14ac:dyDescent="0.25">
      <c r="B93" s="646"/>
      <c r="C93" s="171"/>
      <c r="D93" s="307"/>
      <c r="E93" s="156"/>
      <c r="F93" s="157"/>
      <c r="G93" s="156"/>
      <c r="H93" s="158"/>
    </row>
    <row r="94" spans="2:16" ht="15.75" customHeight="1" x14ac:dyDescent="0.25">
      <c r="B94" s="414"/>
      <c r="C94" s="415"/>
      <c r="D94" s="415"/>
      <c r="E94" s="416"/>
      <c r="F94" s="379"/>
      <c r="G94" s="416"/>
      <c r="H94" s="379"/>
    </row>
    <row r="95" spans="2:16" ht="15.75" customHeight="1" thickBot="1" x14ac:dyDescent="0.3"/>
    <row r="96" spans="2:16" ht="21" customHeight="1" x14ac:dyDescent="0.25">
      <c r="B96" s="637" t="s">
        <v>418</v>
      </c>
      <c r="C96" s="638"/>
      <c r="D96" s="638"/>
      <c r="E96" s="638"/>
      <c r="F96" s="638"/>
      <c r="G96" s="638"/>
      <c r="H96" s="639"/>
      <c r="I96" s="641" t="s">
        <v>419</v>
      </c>
      <c r="J96" s="642"/>
      <c r="K96" s="642"/>
      <c r="L96" s="642"/>
      <c r="M96" s="643"/>
    </row>
    <row r="97" spans="2:16" ht="15.75" customHeight="1" x14ac:dyDescent="0.25">
      <c r="B97" s="346"/>
      <c r="C97" s="347"/>
      <c r="D97" s="348" t="s">
        <v>264</v>
      </c>
      <c r="E97" s="349" t="s">
        <v>265</v>
      </c>
      <c r="F97" s="349" t="s">
        <v>266</v>
      </c>
      <c r="G97" s="350" t="s">
        <v>267</v>
      </c>
      <c r="H97" s="351" t="s">
        <v>262</v>
      </c>
      <c r="I97" s="517" t="s">
        <v>420</v>
      </c>
      <c r="J97" s="518" t="s">
        <v>421</v>
      </c>
      <c r="K97" s="519" t="s">
        <v>422</v>
      </c>
      <c r="L97" s="518" t="s">
        <v>423</v>
      </c>
      <c r="M97" s="520" t="s">
        <v>424</v>
      </c>
    </row>
    <row r="98" spans="2:16" ht="3" customHeight="1" x14ac:dyDescent="0.25">
      <c r="B98" s="352"/>
      <c r="D98" s="329"/>
      <c r="E98" s="338"/>
      <c r="F98" s="338"/>
      <c r="G98" s="318"/>
      <c r="H98" s="321"/>
      <c r="I98" s="364"/>
      <c r="J98" s="342"/>
      <c r="K98" s="137"/>
      <c r="L98" s="365"/>
      <c r="M98" s="266"/>
    </row>
    <row r="99" spans="2:16" ht="15.75" customHeight="1" x14ac:dyDescent="0.25">
      <c r="B99" s="353">
        <v>1</v>
      </c>
      <c r="C99" s="308" t="s">
        <v>417</v>
      </c>
      <c r="D99" s="330">
        <f>D100+D105+D106</f>
        <v>397511.75</v>
      </c>
      <c r="E99" s="339">
        <f t="shared" ref="E99:H99" si="20">E100+E105+E106</f>
        <v>952511.75</v>
      </c>
      <c r="F99" s="339">
        <f t="shared" si="20"/>
        <v>922511.75</v>
      </c>
      <c r="G99" s="335">
        <f t="shared" si="20"/>
        <v>409011.75</v>
      </c>
      <c r="H99" s="322">
        <f t="shared" si="20"/>
        <v>2681547</v>
      </c>
      <c r="I99" s="368">
        <f t="shared" ref="I99:M99" si="21">I100+I105+I106</f>
        <v>400249.4</v>
      </c>
      <c r="J99" s="369">
        <f t="shared" si="21"/>
        <v>754467.25714285718</v>
      </c>
      <c r="K99" s="370">
        <f t="shared" si="21"/>
        <v>865931.54285714286</v>
      </c>
      <c r="L99" s="369">
        <f t="shared" si="21"/>
        <v>423752.97142857139</v>
      </c>
      <c r="M99" s="371">
        <f t="shared" si="21"/>
        <v>237145.82857142857</v>
      </c>
      <c r="O99" s="298"/>
      <c r="P99" s="298"/>
    </row>
    <row r="100" spans="2:16" ht="15.75" customHeight="1" x14ac:dyDescent="0.25">
      <c r="B100" s="354" t="s">
        <v>268</v>
      </c>
      <c r="C100" s="312" t="s">
        <v>164</v>
      </c>
      <c r="D100" s="331">
        <f>SUM(D101:D104)</f>
        <v>100450</v>
      </c>
      <c r="E100" s="340">
        <f t="shared" ref="E100:H100" si="22">SUM(E101:E104)</f>
        <v>655450</v>
      </c>
      <c r="F100" s="340">
        <f t="shared" si="22"/>
        <v>625450</v>
      </c>
      <c r="G100" s="319">
        <f t="shared" si="22"/>
        <v>111950</v>
      </c>
      <c r="H100" s="323">
        <f t="shared" si="22"/>
        <v>1493300</v>
      </c>
      <c r="I100" s="367">
        <f>SUM(I101:I104)</f>
        <v>150600</v>
      </c>
      <c r="J100" s="340">
        <f t="shared" ref="J100:M100" si="23">SUM(J101:J104)</f>
        <v>519817.85714285716</v>
      </c>
      <c r="K100" s="313">
        <f t="shared" si="23"/>
        <v>631282.14285714284</v>
      </c>
      <c r="L100" s="340">
        <f t="shared" si="23"/>
        <v>189103.57142857142</v>
      </c>
      <c r="M100" s="323">
        <f t="shared" si="23"/>
        <v>2496.4285714285716</v>
      </c>
      <c r="O100" s="298"/>
      <c r="P100" s="298"/>
    </row>
    <row r="101" spans="2:16" ht="15.75" customHeight="1" x14ac:dyDescent="0.25">
      <c r="B101" s="355"/>
      <c r="C101" s="314" t="s">
        <v>425</v>
      </c>
      <c r="D101" s="332">
        <v>0</v>
      </c>
      <c r="E101" s="341">
        <f>G69+G71</f>
        <v>625500</v>
      </c>
      <c r="F101" s="341">
        <f>G74+G76</f>
        <v>594000</v>
      </c>
      <c r="G101" s="320">
        <v>0</v>
      </c>
      <c r="H101" s="324">
        <f>SUM(D101:G101)</f>
        <v>1219500</v>
      </c>
      <c r="I101" s="366">
        <f>I69+I71+I74+I76</f>
        <v>9000</v>
      </c>
      <c r="J101" s="341">
        <f t="shared" ref="J101:M101" si="24">J69+J71+J74+J76</f>
        <v>450000</v>
      </c>
      <c r="K101" s="315">
        <f t="shared" si="24"/>
        <v>580500</v>
      </c>
      <c r="L101" s="341">
        <f t="shared" si="24"/>
        <v>180000</v>
      </c>
      <c r="M101" s="324">
        <f t="shared" si="24"/>
        <v>0</v>
      </c>
      <c r="O101" s="298"/>
      <c r="P101" s="298"/>
    </row>
    <row r="102" spans="2:16" ht="15.75" customHeight="1" x14ac:dyDescent="0.25">
      <c r="B102" s="355"/>
      <c r="C102" s="314" t="s">
        <v>426</v>
      </c>
      <c r="D102" s="332">
        <f>(G49+G50+G61)/4</f>
        <v>25450</v>
      </c>
      <c r="E102" s="341">
        <f>(G49+G50+G61)/4</f>
        <v>25450</v>
      </c>
      <c r="F102" s="341">
        <f>(G49+G50+G61)/4</f>
        <v>25450</v>
      </c>
      <c r="G102" s="320">
        <f>(G49+G50+G61)/4</f>
        <v>25450</v>
      </c>
      <c r="H102" s="324">
        <f>SUM(D102:G102)</f>
        <v>101800</v>
      </c>
      <c r="I102" s="366">
        <f>I49+I50+I61</f>
        <v>101800</v>
      </c>
      <c r="J102" s="341">
        <f>J49+J50+J61</f>
        <v>0</v>
      </c>
      <c r="K102" s="315">
        <f>K49+K50+K61</f>
        <v>0</v>
      </c>
      <c r="L102" s="341">
        <f>L49+L50+L61</f>
        <v>0</v>
      </c>
      <c r="M102" s="324">
        <f>M49+M50+M61</f>
        <v>0</v>
      </c>
      <c r="O102" s="298"/>
      <c r="P102" s="298"/>
    </row>
    <row r="103" spans="2:16" ht="15.75" customHeight="1" x14ac:dyDescent="0.25">
      <c r="B103" s="355"/>
      <c r="C103" s="316" t="s">
        <v>427</v>
      </c>
      <c r="D103" s="332">
        <v>0</v>
      </c>
      <c r="E103" s="341">
        <v>0</v>
      </c>
      <c r="F103" s="341">
        <v>0</v>
      </c>
      <c r="G103" s="320">
        <v>0</v>
      </c>
      <c r="H103" s="324">
        <v>0</v>
      </c>
      <c r="I103" s="366">
        <v>0</v>
      </c>
      <c r="J103" s="341">
        <v>0</v>
      </c>
      <c r="K103" s="315">
        <v>0</v>
      </c>
      <c r="L103" s="341">
        <v>0</v>
      </c>
      <c r="M103" s="324">
        <v>0</v>
      </c>
      <c r="O103" s="298"/>
      <c r="P103" s="298"/>
    </row>
    <row r="104" spans="2:16" ht="15.75" customHeight="1" x14ac:dyDescent="0.25">
      <c r="B104" s="355"/>
      <c r="C104" s="316" t="s">
        <v>428</v>
      </c>
      <c r="D104" s="332">
        <f>G62</f>
        <v>75000</v>
      </c>
      <c r="E104" s="341">
        <f>G68+G70</f>
        <v>4500</v>
      </c>
      <c r="F104" s="341">
        <f>G73+G75</f>
        <v>6000</v>
      </c>
      <c r="G104" s="320">
        <f>G77</f>
        <v>86500</v>
      </c>
      <c r="H104" s="324">
        <f t="shared" ref="H104:H109" si="25">SUM(D104:G104)</f>
        <v>172000</v>
      </c>
      <c r="I104" s="366">
        <f>I62+I68+I70+I73+I75+I77</f>
        <v>39800</v>
      </c>
      <c r="J104" s="341">
        <f t="shared" ref="J104:M104" si="26">J62+J68+J70+J73+J75+J77</f>
        <v>69817.857142857145</v>
      </c>
      <c r="K104" s="315">
        <f t="shared" si="26"/>
        <v>50782.142857142855</v>
      </c>
      <c r="L104" s="341">
        <f t="shared" si="26"/>
        <v>9103.5714285714294</v>
      </c>
      <c r="M104" s="324">
        <f t="shared" si="26"/>
        <v>2496.4285714285716</v>
      </c>
      <c r="O104" s="298"/>
      <c r="P104" s="298"/>
    </row>
    <row r="105" spans="2:16" ht="15.75" customHeight="1" x14ac:dyDescent="0.25">
      <c r="B105" s="354" t="s">
        <v>269</v>
      </c>
      <c r="C105" s="312" t="s">
        <v>429</v>
      </c>
      <c r="D105" s="331">
        <f>(G52+G54+G55+G56+G59+G60)/4</f>
        <v>75530</v>
      </c>
      <c r="E105" s="340">
        <f>(G52+G54+G55+G56+G59+G60)/4</f>
        <v>75530</v>
      </c>
      <c r="F105" s="340">
        <f>(G52+G54+G55+G56+G59+G60)/4</f>
        <v>75530</v>
      </c>
      <c r="G105" s="319">
        <f>(G52+G54+G55+G56+G59+G60)/4</f>
        <v>75530</v>
      </c>
      <c r="H105" s="323">
        <f t="shared" si="25"/>
        <v>302120</v>
      </c>
      <c r="I105" s="367">
        <f>(I52+I54+I55+I56+I59+I60)</f>
        <v>72424</v>
      </c>
      <c r="J105" s="340">
        <f>(J52+J54+J55+J56+J59+J60)</f>
        <v>57424</v>
      </c>
      <c r="K105" s="313">
        <f>(K52+K54+K55+K56+K59+K60)</f>
        <v>57424</v>
      </c>
      <c r="L105" s="340">
        <f>(L52+L54+L55+L56+L59+L60)</f>
        <v>57424</v>
      </c>
      <c r="M105" s="323">
        <f>(M52+M54+M55+M56+M59+M60)</f>
        <v>57424</v>
      </c>
      <c r="O105" s="298"/>
      <c r="P105" s="298"/>
    </row>
    <row r="106" spans="2:16" ht="15.75" customHeight="1" x14ac:dyDescent="0.25">
      <c r="B106" s="354" t="s">
        <v>270</v>
      </c>
      <c r="C106" s="312" t="s">
        <v>208</v>
      </c>
      <c r="D106" s="331">
        <f>SUM(D107:D109)</f>
        <v>221531.75</v>
      </c>
      <c r="E106" s="340">
        <f t="shared" ref="E106:G106" si="27">SUM(E107:E109)</f>
        <v>221531.75</v>
      </c>
      <c r="F106" s="340">
        <f t="shared" si="27"/>
        <v>221531.75</v>
      </c>
      <c r="G106" s="319">
        <f t="shared" si="27"/>
        <v>221531.75</v>
      </c>
      <c r="H106" s="323">
        <f t="shared" si="25"/>
        <v>886127</v>
      </c>
      <c r="I106" s="367">
        <f>SUM(I107:I109)</f>
        <v>177225.4</v>
      </c>
      <c r="J106" s="340">
        <f t="shared" ref="J106:M106" si="28">SUM(J107:J109)</f>
        <v>177225.4</v>
      </c>
      <c r="K106" s="313">
        <f t="shared" si="28"/>
        <v>177225.4</v>
      </c>
      <c r="L106" s="340">
        <f t="shared" si="28"/>
        <v>177225.4</v>
      </c>
      <c r="M106" s="323">
        <f t="shared" si="28"/>
        <v>177225.4</v>
      </c>
      <c r="O106" s="298"/>
      <c r="P106" s="298"/>
    </row>
    <row r="107" spans="2:16" ht="15.75" customHeight="1" x14ac:dyDescent="0.25">
      <c r="B107" s="355"/>
      <c r="C107" s="316" t="s">
        <v>272</v>
      </c>
      <c r="D107" s="332">
        <f>(G46+G47+G58)/4</f>
        <v>134785</v>
      </c>
      <c r="E107" s="341">
        <f>(G46+G47+G58)/4</f>
        <v>134785</v>
      </c>
      <c r="F107" s="341">
        <f>(G46+G47+G58)/4</f>
        <v>134785</v>
      </c>
      <c r="G107" s="320">
        <f>(G46+G47+G58)/4</f>
        <v>134785</v>
      </c>
      <c r="H107" s="324">
        <f t="shared" si="25"/>
        <v>539140</v>
      </c>
      <c r="I107" s="366">
        <f>(I46+I47+I58)</f>
        <v>107828</v>
      </c>
      <c r="J107" s="341">
        <f>(J46+J47+J58)</f>
        <v>107828</v>
      </c>
      <c r="K107" s="341">
        <f>(K46+K47+K58)</f>
        <v>107828</v>
      </c>
      <c r="L107" s="341">
        <f>(L46+L47+L58)</f>
        <v>107828</v>
      </c>
      <c r="M107" s="324">
        <f>(M46+M47+M58)</f>
        <v>107828</v>
      </c>
    </row>
    <row r="108" spans="2:16" ht="15.75" customHeight="1" x14ac:dyDescent="0.25">
      <c r="B108" s="355"/>
      <c r="C108" s="316" t="s">
        <v>273</v>
      </c>
      <c r="D108" s="332">
        <f>G45/4</f>
        <v>86746.75</v>
      </c>
      <c r="E108" s="341">
        <f>G45/4</f>
        <v>86746.75</v>
      </c>
      <c r="F108" s="341">
        <f>G45/4</f>
        <v>86746.75</v>
      </c>
      <c r="G108" s="320">
        <f>G45/4</f>
        <v>86746.75</v>
      </c>
      <c r="H108" s="324">
        <f t="shared" si="25"/>
        <v>346987</v>
      </c>
      <c r="I108" s="366">
        <f>I45</f>
        <v>69397.399999999994</v>
      </c>
      <c r="J108" s="341">
        <f>J45</f>
        <v>69397.399999999994</v>
      </c>
      <c r="K108" s="315">
        <f>K45</f>
        <v>69397.399999999994</v>
      </c>
      <c r="L108" s="341">
        <f>L45</f>
        <v>69397.399999999994</v>
      </c>
      <c r="M108" s="324">
        <f>M45</f>
        <v>69397.399999999994</v>
      </c>
    </row>
    <row r="109" spans="2:16" ht="15.75" customHeight="1" x14ac:dyDescent="0.25">
      <c r="B109" s="355"/>
      <c r="C109" s="316" t="s">
        <v>430</v>
      </c>
      <c r="D109" s="332">
        <v>0</v>
      </c>
      <c r="E109" s="341">
        <v>0</v>
      </c>
      <c r="F109" s="341">
        <v>0</v>
      </c>
      <c r="G109" s="320">
        <v>0</v>
      </c>
      <c r="H109" s="324">
        <f t="shared" si="25"/>
        <v>0</v>
      </c>
      <c r="I109" s="366">
        <v>0</v>
      </c>
      <c r="J109" s="341">
        <v>0</v>
      </c>
      <c r="K109" s="315">
        <v>0</v>
      </c>
      <c r="L109" s="341">
        <v>0</v>
      </c>
      <c r="M109" s="324">
        <v>0</v>
      </c>
    </row>
    <row r="110" spans="2:16" ht="3" customHeight="1" x14ac:dyDescent="0.25">
      <c r="B110" s="356"/>
      <c r="D110" s="289"/>
      <c r="E110" s="342"/>
      <c r="F110" s="342"/>
      <c r="G110" s="176"/>
      <c r="H110" s="266"/>
      <c r="I110" s="364"/>
      <c r="J110" s="342"/>
      <c r="K110" s="137"/>
      <c r="L110" s="342"/>
      <c r="M110" s="266"/>
    </row>
    <row r="111" spans="2:16" ht="15.75" customHeight="1" x14ac:dyDescent="0.25">
      <c r="B111" s="357">
        <v>2</v>
      </c>
      <c r="C111" s="308" t="s">
        <v>431</v>
      </c>
      <c r="D111" s="330">
        <f>G5/4</f>
        <v>79529.25</v>
      </c>
      <c r="E111" s="339">
        <f>G5/4</f>
        <v>79529.25</v>
      </c>
      <c r="F111" s="339">
        <f>G5/4</f>
        <v>79529.25</v>
      </c>
      <c r="G111" s="335">
        <f>G5/4</f>
        <v>79529.25</v>
      </c>
      <c r="H111" s="322">
        <f>SUM(D111:G111)</f>
        <v>318117</v>
      </c>
      <c r="I111" s="372">
        <f>I5</f>
        <v>64903.4</v>
      </c>
      <c r="J111" s="369">
        <f>J5</f>
        <v>55803.4</v>
      </c>
      <c r="K111" s="370">
        <f>K5</f>
        <v>85803.4</v>
      </c>
      <c r="L111" s="369">
        <f>L5</f>
        <v>55803.4</v>
      </c>
      <c r="M111" s="371">
        <f>M5</f>
        <v>55803.4</v>
      </c>
      <c r="O111" s="298"/>
      <c r="P111" s="298"/>
    </row>
    <row r="112" spans="2:16" ht="3" customHeight="1" x14ac:dyDescent="0.25">
      <c r="B112" s="358"/>
      <c r="C112" s="304"/>
      <c r="D112" s="333"/>
      <c r="E112" s="343"/>
      <c r="F112" s="343"/>
      <c r="G112" s="336"/>
      <c r="H112" s="326"/>
      <c r="I112" s="364"/>
      <c r="J112" s="342"/>
      <c r="K112" s="137"/>
      <c r="L112" s="342"/>
      <c r="M112" s="266"/>
    </row>
    <row r="113" spans="2:16" ht="15.75" customHeight="1" x14ac:dyDescent="0.25">
      <c r="B113" s="357">
        <v>3</v>
      </c>
      <c r="C113" s="308" t="s">
        <v>432</v>
      </c>
      <c r="D113" s="330">
        <f>G82/4</f>
        <v>47866.97872340426</v>
      </c>
      <c r="E113" s="339">
        <f>G82/4</f>
        <v>47866.97872340426</v>
      </c>
      <c r="F113" s="339">
        <f>G82/4</f>
        <v>47866.97872340426</v>
      </c>
      <c r="G113" s="335">
        <f>G82/4</f>
        <v>47866.97872340426</v>
      </c>
      <c r="H113" s="322">
        <f>SUM(D113:G113)</f>
        <v>191467.91489361704</v>
      </c>
      <c r="I113" s="372">
        <f>I82</f>
        <v>29690.604255319151</v>
      </c>
      <c r="J113" s="369">
        <f>J82</f>
        <v>51719.403647416417</v>
      </c>
      <c r="K113" s="370">
        <f>K82</f>
        <v>60749.038905775073</v>
      </c>
      <c r="L113" s="369">
        <f>L82</f>
        <v>30609.981155015201</v>
      </c>
      <c r="M113" s="371">
        <f>M82</f>
        <v>18698.886930091187</v>
      </c>
      <c r="O113" s="298"/>
      <c r="P113" s="298"/>
    </row>
    <row r="114" spans="2:16" ht="3" customHeight="1" x14ac:dyDescent="0.25">
      <c r="B114" s="358"/>
      <c r="C114" s="304"/>
      <c r="D114" s="333"/>
      <c r="E114" s="343"/>
      <c r="F114" s="343"/>
      <c r="G114" s="336"/>
      <c r="H114" s="326"/>
      <c r="I114" s="364"/>
      <c r="J114" s="342"/>
      <c r="K114" s="137"/>
      <c r="L114" s="342"/>
      <c r="M114" s="266"/>
    </row>
    <row r="115" spans="2:16" ht="17.25" customHeight="1" x14ac:dyDescent="0.25">
      <c r="B115" s="359">
        <v>4</v>
      </c>
      <c r="C115" s="345" t="s">
        <v>433</v>
      </c>
      <c r="D115" s="406">
        <f>D99+D111+D113</f>
        <v>524907.97872340423</v>
      </c>
      <c r="E115" s="407">
        <f t="shared" ref="E115:H115" si="29">E99+E111+E113</f>
        <v>1079907.9787234042</v>
      </c>
      <c r="F115" s="407">
        <f t="shared" si="29"/>
        <v>1049907.9787234042</v>
      </c>
      <c r="G115" s="408">
        <f t="shared" si="29"/>
        <v>536407.97872340423</v>
      </c>
      <c r="H115" s="405">
        <f t="shared" si="29"/>
        <v>3191131.9148936169</v>
      </c>
      <c r="I115" s="409">
        <f>I99+I111+I113</f>
        <v>494843.40425531921</v>
      </c>
      <c r="J115" s="410">
        <f t="shared" ref="J115:M115" si="30">J99+J111+J113</f>
        <v>861990.06079027359</v>
      </c>
      <c r="K115" s="411">
        <f t="shared" si="30"/>
        <v>1012483.9817629179</v>
      </c>
      <c r="L115" s="410">
        <f t="shared" si="30"/>
        <v>510166.35258358659</v>
      </c>
      <c r="M115" s="412">
        <f t="shared" si="30"/>
        <v>311648.11550151976</v>
      </c>
      <c r="O115" s="298">
        <f>SUM(I115:N115)</f>
        <v>3191131.9148936169</v>
      </c>
      <c r="P115" s="298">
        <f>H115-O115</f>
        <v>0</v>
      </c>
    </row>
    <row r="116" spans="2:16" ht="3" customHeight="1" x14ac:dyDescent="0.25">
      <c r="B116" s="358"/>
      <c r="C116" s="304"/>
      <c r="D116" s="333"/>
      <c r="E116" s="343"/>
      <c r="F116" s="343"/>
      <c r="G116" s="336"/>
      <c r="H116" s="326"/>
      <c r="I116" s="364"/>
      <c r="J116" s="342"/>
      <c r="K116" s="137"/>
      <c r="L116" s="342"/>
      <c r="M116" s="266"/>
    </row>
    <row r="117" spans="2:16" ht="15.75" customHeight="1" x14ac:dyDescent="0.25">
      <c r="B117" s="357">
        <v>5</v>
      </c>
      <c r="C117" s="308" t="s">
        <v>434</v>
      </c>
      <c r="D117" s="330"/>
      <c r="E117" s="339"/>
      <c r="F117" s="339"/>
      <c r="G117" s="335"/>
      <c r="H117" s="322">
        <f>H115*0.85</f>
        <v>2712462.1276595742</v>
      </c>
      <c r="I117" s="372">
        <f>I115*0.85</f>
        <v>420616.89361702133</v>
      </c>
      <c r="J117" s="369">
        <f t="shared" ref="J117:M117" si="31">J115*0.85</f>
        <v>732691.55167173257</v>
      </c>
      <c r="K117" s="370">
        <f t="shared" si="31"/>
        <v>860611.38449848024</v>
      </c>
      <c r="L117" s="369">
        <f t="shared" si="31"/>
        <v>433641.39969604858</v>
      </c>
      <c r="M117" s="371">
        <f t="shared" si="31"/>
        <v>264900.89817629178</v>
      </c>
      <c r="O117" s="298">
        <f>SUM(I117:N117)</f>
        <v>2712462.1276595746</v>
      </c>
      <c r="P117" s="298">
        <f>H117-O117</f>
        <v>0</v>
      </c>
    </row>
    <row r="118" spans="2:16" ht="3" customHeight="1" x14ac:dyDescent="0.25">
      <c r="B118" s="358"/>
      <c r="C118" s="304"/>
      <c r="D118" s="333"/>
      <c r="E118" s="343"/>
      <c r="F118" s="343"/>
      <c r="G118" s="336"/>
      <c r="H118" s="326"/>
      <c r="I118" s="373"/>
      <c r="J118" s="374"/>
      <c r="K118" s="309"/>
      <c r="L118" s="374"/>
      <c r="M118" s="326"/>
    </row>
    <row r="119" spans="2:16" ht="15.75" customHeight="1" thickBot="1" x14ac:dyDescent="0.3">
      <c r="B119" s="360">
        <v>6</v>
      </c>
      <c r="C119" s="327" t="s">
        <v>435</v>
      </c>
      <c r="D119" s="334"/>
      <c r="E119" s="344"/>
      <c r="F119" s="344"/>
      <c r="G119" s="337"/>
      <c r="H119" s="328">
        <f t="shared" ref="H119:M119" si="32">H115*0.15</f>
        <v>478669.78723404254</v>
      </c>
      <c r="I119" s="375">
        <f t="shared" si="32"/>
        <v>74226.510638297885</v>
      </c>
      <c r="J119" s="376">
        <f t="shared" si="32"/>
        <v>129298.50911854103</v>
      </c>
      <c r="K119" s="377">
        <f t="shared" si="32"/>
        <v>151872.59726443767</v>
      </c>
      <c r="L119" s="376">
        <f t="shared" si="32"/>
        <v>76524.952887537991</v>
      </c>
      <c r="M119" s="378">
        <f t="shared" si="32"/>
        <v>46747.217325227961</v>
      </c>
      <c r="O119" s="298">
        <f>SUM(I119:N119)</f>
        <v>478669.7872340426</v>
      </c>
      <c r="P119" s="298">
        <f>H119-O119</f>
        <v>0</v>
      </c>
    </row>
    <row r="120" spans="2:16" ht="15.75" customHeight="1" x14ac:dyDescent="0.25"/>
    <row r="121" spans="2:16" ht="15.75" customHeight="1" thickBot="1" x14ac:dyDescent="0.3"/>
    <row r="122" spans="2:16" ht="23.25" customHeight="1" x14ac:dyDescent="0.25">
      <c r="B122" s="637" t="s">
        <v>436</v>
      </c>
      <c r="C122" s="638"/>
      <c r="D122" s="638"/>
      <c r="E122" s="638"/>
      <c r="F122" s="638"/>
      <c r="G122" s="638"/>
      <c r="H122" s="638"/>
      <c r="I122" s="638"/>
      <c r="J122" s="638"/>
      <c r="K122" s="639"/>
    </row>
    <row r="123" spans="2:16" ht="17.25" customHeight="1" x14ac:dyDescent="0.3">
      <c r="B123" s="346"/>
      <c r="C123" s="391"/>
      <c r="D123" s="392" t="s">
        <v>420</v>
      </c>
      <c r="E123" s="349" t="s">
        <v>437</v>
      </c>
      <c r="F123" s="362" t="s">
        <v>422</v>
      </c>
      <c r="G123" s="349" t="s">
        <v>438</v>
      </c>
      <c r="H123" s="362" t="s">
        <v>424</v>
      </c>
      <c r="I123" s="413" t="s">
        <v>119</v>
      </c>
      <c r="J123" s="362" t="s">
        <v>439</v>
      </c>
      <c r="K123" s="393" t="s">
        <v>440</v>
      </c>
    </row>
    <row r="124" spans="2:16" ht="15.75" customHeight="1" x14ac:dyDescent="0.25">
      <c r="B124" s="325">
        <v>1</v>
      </c>
      <c r="C124" s="383" t="s">
        <v>164</v>
      </c>
      <c r="D124" s="381">
        <f>SUM(D125:D126)</f>
        <v>4100</v>
      </c>
      <c r="E124" s="387">
        <f t="shared" ref="E124:K124" si="33">SUM(E125:E126)</f>
        <v>0</v>
      </c>
      <c r="F124" s="381">
        <f t="shared" si="33"/>
        <v>0</v>
      </c>
      <c r="G124" s="387">
        <f t="shared" si="33"/>
        <v>0</v>
      </c>
      <c r="H124" s="381">
        <f t="shared" si="33"/>
        <v>0</v>
      </c>
      <c r="I124" s="387">
        <f t="shared" si="33"/>
        <v>4100</v>
      </c>
      <c r="J124" s="381">
        <f t="shared" si="33"/>
        <v>0</v>
      </c>
      <c r="K124" s="388">
        <f t="shared" si="33"/>
        <v>4100</v>
      </c>
    </row>
    <row r="125" spans="2:16" ht="15.75" customHeight="1" x14ac:dyDescent="0.25">
      <c r="B125" s="361" t="s">
        <v>268</v>
      </c>
      <c r="C125" s="363" t="s">
        <v>425</v>
      </c>
      <c r="D125" s="137">
        <v>0</v>
      </c>
      <c r="E125" s="342">
        <v>0</v>
      </c>
      <c r="F125" s="137">
        <v>0</v>
      </c>
      <c r="G125" s="342">
        <v>0</v>
      </c>
      <c r="H125" s="137">
        <v>0</v>
      </c>
      <c r="I125" s="385">
        <f>SUM(D125:H125)</f>
        <v>0</v>
      </c>
      <c r="J125" s="380">
        <v>0</v>
      </c>
      <c r="K125" s="389">
        <v>0</v>
      </c>
    </row>
    <row r="126" spans="2:16" ht="15.75" customHeight="1" x14ac:dyDescent="0.25">
      <c r="B126" s="361" t="s">
        <v>269</v>
      </c>
      <c r="C126" s="363" t="s">
        <v>426</v>
      </c>
      <c r="D126" s="189">
        <f>SUM(I28:I30)</f>
        <v>4100</v>
      </c>
      <c r="E126" s="385">
        <f t="shared" ref="E126:H126" si="34">SUM(J28:J30)</f>
        <v>0</v>
      </c>
      <c r="F126" s="189">
        <f t="shared" si="34"/>
        <v>0</v>
      </c>
      <c r="G126" s="385">
        <f t="shared" si="34"/>
        <v>0</v>
      </c>
      <c r="H126" s="189">
        <f t="shared" si="34"/>
        <v>0</v>
      </c>
      <c r="I126" s="385">
        <f>SUM(D126:H126)</f>
        <v>4100</v>
      </c>
      <c r="J126" s="380">
        <v>0</v>
      </c>
      <c r="K126" s="390">
        <f>I126</f>
        <v>4100</v>
      </c>
    </row>
    <row r="127" spans="2:16" ht="15.75" customHeight="1" x14ac:dyDescent="0.25">
      <c r="B127" s="325">
        <v>2</v>
      </c>
      <c r="C127" s="383" t="s">
        <v>429</v>
      </c>
      <c r="D127" s="381">
        <f>SUM(D128:D130)</f>
        <v>24780</v>
      </c>
      <c r="E127" s="387">
        <f t="shared" ref="E127:K127" si="35">SUM(E128:E130)</f>
        <v>19780</v>
      </c>
      <c r="F127" s="381">
        <f t="shared" si="35"/>
        <v>49780</v>
      </c>
      <c r="G127" s="387">
        <f t="shared" si="35"/>
        <v>19780</v>
      </c>
      <c r="H127" s="381">
        <f t="shared" si="35"/>
        <v>19780</v>
      </c>
      <c r="I127" s="387">
        <f t="shared" si="35"/>
        <v>133900</v>
      </c>
      <c r="J127" s="381">
        <f t="shared" si="35"/>
        <v>0</v>
      </c>
      <c r="K127" s="388">
        <f t="shared" si="35"/>
        <v>133900</v>
      </c>
    </row>
    <row r="128" spans="2:16" ht="15.75" customHeight="1" x14ac:dyDescent="0.25">
      <c r="B128" s="361" t="s">
        <v>275</v>
      </c>
      <c r="C128" s="384" t="s">
        <v>274</v>
      </c>
      <c r="D128" s="137">
        <v>0</v>
      </c>
      <c r="E128" s="342">
        <v>0</v>
      </c>
      <c r="F128" s="137">
        <v>0</v>
      </c>
      <c r="G128" s="342">
        <v>0</v>
      </c>
      <c r="H128" s="137">
        <v>0</v>
      </c>
      <c r="I128" s="385">
        <f>SUM(D128:H128)</f>
        <v>0</v>
      </c>
      <c r="J128" s="380">
        <v>0</v>
      </c>
      <c r="K128" s="390">
        <f>I128</f>
        <v>0</v>
      </c>
    </row>
    <row r="129" spans="2:11" ht="15.75" customHeight="1" x14ac:dyDescent="0.25">
      <c r="B129" s="382" t="s">
        <v>276</v>
      </c>
      <c r="C129" s="385" t="s">
        <v>441</v>
      </c>
      <c r="D129" s="189">
        <f>SUM(I32:I35)</f>
        <v>7500</v>
      </c>
      <c r="E129" s="385">
        <f t="shared" ref="E129:H129" si="36">SUM(J32:J35)</f>
        <v>2500</v>
      </c>
      <c r="F129" s="189">
        <f t="shared" si="36"/>
        <v>32500</v>
      </c>
      <c r="G129" s="385">
        <f t="shared" si="36"/>
        <v>2500</v>
      </c>
      <c r="H129" s="189">
        <f t="shared" si="36"/>
        <v>2500</v>
      </c>
      <c r="I129" s="385">
        <f>SUM(D129:H129)</f>
        <v>47500</v>
      </c>
      <c r="J129" s="380">
        <v>0</v>
      </c>
      <c r="K129" s="390">
        <f>I129</f>
        <v>47500</v>
      </c>
    </row>
    <row r="130" spans="2:11" ht="15.75" customHeight="1" x14ac:dyDescent="0.25">
      <c r="B130" s="382" t="s">
        <v>280</v>
      </c>
      <c r="C130" s="385" t="s">
        <v>442</v>
      </c>
      <c r="D130" s="189">
        <f>SUM(I11:I26)</f>
        <v>17280</v>
      </c>
      <c r="E130" s="385">
        <f>SUM(J11:J26)</f>
        <v>17280</v>
      </c>
      <c r="F130" s="189">
        <f>SUM(K11:K26)</f>
        <v>17280</v>
      </c>
      <c r="G130" s="385">
        <f>SUM(L11:L26)</f>
        <v>17280</v>
      </c>
      <c r="H130" s="189">
        <f>SUM(M11:M26)</f>
        <v>17280</v>
      </c>
      <c r="I130" s="385">
        <f>SUM(D130:H130)</f>
        <v>86400</v>
      </c>
      <c r="J130" s="380">
        <v>0</v>
      </c>
      <c r="K130" s="390">
        <f>I130</f>
        <v>86400</v>
      </c>
    </row>
    <row r="131" spans="2:11" ht="15.75" customHeight="1" x14ac:dyDescent="0.25">
      <c r="B131" s="325">
        <v>3</v>
      </c>
      <c r="C131" s="383" t="s">
        <v>208</v>
      </c>
      <c r="D131" s="381">
        <f>SUM(D132:D134)</f>
        <v>36023.4</v>
      </c>
      <c r="E131" s="387">
        <f t="shared" ref="E131:K131" si="37">SUM(E132:E134)</f>
        <v>36023.4</v>
      </c>
      <c r="F131" s="381">
        <f t="shared" si="37"/>
        <v>36023.4</v>
      </c>
      <c r="G131" s="387">
        <f t="shared" si="37"/>
        <v>36023.4</v>
      </c>
      <c r="H131" s="381">
        <f t="shared" si="37"/>
        <v>36023.4</v>
      </c>
      <c r="I131" s="387">
        <f t="shared" si="37"/>
        <v>180117</v>
      </c>
      <c r="J131" s="381">
        <f t="shared" si="37"/>
        <v>0</v>
      </c>
      <c r="K131" s="388">
        <f t="shared" si="37"/>
        <v>180117</v>
      </c>
    </row>
    <row r="132" spans="2:11" ht="15.75" customHeight="1" x14ac:dyDescent="0.25">
      <c r="B132" s="382" t="s">
        <v>277</v>
      </c>
      <c r="C132" s="386" t="s">
        <v>439</v>
      </c>
      <c r="D132" s="137">
        <v>0</v>
      </c>
      <c r="E132" s="342">
        <v>0</v>
      </c>
      <c r="F132" s="137">
        <v>0</v>
      </c>
      <c r="G132" s="342">
        <v>0</v>
      </c>
      <c r="H132" s="137">
        <v>0</v>
      </c>
      <c r="I132" s="385">
        <f>SUM(D132:H132)</f>
        <v>0</v>
      </c>
      <c r="J132" s="189">
        <v>0</v>
      </c>
      <c r="K132" s="390">
        <f>I132</f>
        <v>0</v>
      </c>
    </row>
    <row r="133" spans="2:11" ht="15.75" customHeight="1" x14ac:dyDescent="0.25">
      <c r="B133" s="382" t="s">
        <v>278</v>
      </c>
      <c r="C133" s="386" t="s">
        <v>271</v>
      </c>
      <c r="D133" s="189">
        <f>(I8+I9)</f>
        <v>23776.799999999999</v>
      </c>
      <c r="E133" s="385">
        <f>(J8+J9)</f>
        <v>23776.799999999999</v>
      </c>
      <c r="F133" s="189">
        <f>(K8+K9)</f>
        <v>23776.799999999999</v>
      </c>
      <c r="G133" s="385">
        <f>(L8+L9)</f>
        <v>23776.799999999999</v>
      </c>
      <c r="H133" s="189">
        <f>(M8+M9)</f>
        <v>23776.799999999999</v>
      </c>
      <c r="I133" s="385">
        <f>SUM(D133:H133)</f>
        <v>118884</v>
      </c>
      <c r="J133" s="189">
        <v>0</v>
      </c>
      <c r="K133" s="390">
        <f>I133</f>
        <v>118884</v>
      </c>
    </row>
    <row r="134" spans="2:11" ht="15.75" customHeight="1" x14ac:dyDescent="0.25">
      <c r="B134" s="394" t="s">
        <v>279</v>
      </c>
      <c r="C134" s="395" t="s">
        <v>443</v>
      </c>
      <c r="D134" s="396">
        <f>I7</f>
        <v>12246.6</v>
      </c>
      <c r="E134" s="397">
        <f t="shared" ref="E134:H134" si="38">J7</f>
        <v>12246.6</v>
      </c>
      <c r="F134" s="396">
        <f t="shared" si="38"/>
        <v>12246.6</v>
      </c>
      <c r="G134" s="397">
        <f t="shared" si="38"/>
        <v>12246.6</v>
      </c>
      <c r="H134" s="396">
        <f t="shared" si="38"/>
        <v>12246.6</v>
      </c>
      <c r="I134" s="397">
        <f>SUM(D134:H134)</f>
        <v>61233</v>
      </c>
      <c r="J134" s="396">
        <f>0</f>
        <v>0</v>
      </c>
      <c r="K134" s="398">
        <f>I134</f>
        <v>61233</v>
      </c>
    </row>
    <row r="135" spans="2:11" ht="20.25" customHeight="1" thickBot="1" x14ac:dyDescent="0.3">
      <c r="B135" s="399">
        <v>4</v>
      </c>
      <c r="C135" s="400" t="s">
        <v>119</v>
      </c>
      <c r="D135" s="401">
        <f>D124+D127+D131</f>
        <v>64903.4</v>
      </c>
      <c r="E135" s="402">
        <f t="shared" ref="E135:K135" si="39">E124+E127+E131</f>
        <v>55803.4</v>
      </c>
      <c r="F135" s="401">
        <f t="shared" si="39"/>
        <v>85803.4</v>
      </c>
      <c r="G135" s="402">
        <f t="shared" si="39"/>
        <v>55803.4</v>
      </c>
      <c r="H135" s="401">
        <f t="shared" si="39"/>
        <v>55803.4</v>
      </c>
      <c r="I135" s="403">
        <f t="shared" si="39"/>
        <v>318117</v>
      </c>
      <c r="J135" s="401">
        <f t="shared" si="39"/>
        <v>0</v>
      </c>
      <c r="K135" s="404">
        <f t="shared" si="39"/>
        <v>318117</v>
      </c>
    </row>
    <row r="136" spans="2:11" ht="15.75" customHeight="1" x14ac:dyDescent="0.25"/>
    <row r="137" spans="2:11" ht="15.75" customHeight="1" x14ac:dyDescent="0.25"/>
    <row r="138" spans="2:11" ht="15.75" customHeight="1" x14ac:dyDescent="0.25"/>
    <row r="139" spans="2:11" ht="15.75" customHeight="1" x14ac:dyDescent="0.25"/>
    <row r="140" spans="2:11" ht="15.75" customHeight="1" x14ac:dyDescent="0.25"/>
    <row r="141" spans="2:11" ht="15.75" customHeight="1" x14ac:dyDescent="0.25"/>
    <row r="142" spans="2:11" ht="15.75" customHeight="1" x14ac:dyDescent="0.25"/>
    <row r="143" spans="2:11" ht="15.75" customHeight="1" x14ac:dyDescent="0.25"/>
    <row r="144" spans="2:11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</sheetData>
  <mergeCells count="84">
    <mergeCell ref="C10:D10"/>
    <mergeCell ref="C11:D11"/>
    <mergeCell ref="C12:D12"/>
    <mergeCell ref="C13:D13"/>
    <mergeCell ref="O2:P2"/>
    <mergeCell ref="C3:D3"/>
    <mergeCell ref="C5:D5"/>
    <mergeCell ref="C6:D6"/>
    <mergeCell ref="C7:D7"/>
    <mergeCell ref="C39:D39"/>
    <mergeCell ref="C4:D4"/>
    <mergeCell ref="C28:D28"/>
    <mergeCell ref="C29:D29"/>
    <mergeCell ref="C30:D30"/>
    <mergeCell ref="C31:D31"/>
    <mergeCell ref="C32:D32"/>
    <mergeCell ref="C17:D17"/>
    <mergeCell ref="C18:D18"/>
    <mergeCell ref="C19:D19"/>
    <mergeCell ref="C27:D27"/>
    <mergeCell ref="C8:D8"/>
    <mergeCell ref="C14:D14"/>
    <mergeCell ref="C15:D15"/>
    <mergeCell ref="C16:D16"/>
    <mergeCell ref="C9:D9"/>
    <mergeCell ref="C52:D52"/>
    <mergeCell ref="C54:D54"/>
    <mergeCell ref="C55:D55"/>
    <mergeCell ref="C42:D42"/>
    <mergeCell ref="C45:D45"/>
    <mergeCell ref="C46:D46"/>
    <mergeCell ref="C47:D47"/>
    <mergeCell ref="C49:D49"/>
    <mergeCell ref="C43:D43"/>
    <mergeCell ref="C50:D50"/>
    <mergeCell ref="C44:D44"/>
    <mergeCell ref="C48:D48"/>
    <mergeCell ref="C51:D51"/>
    <mergeCell ref="C53:D53"/>
    <mergeCell ref="C65:D65"/>
    <mergeCell ref="C66:D66"/>
    <mergeCell ref="C79:D79"/>
    <mergeCell ref="C68:D68"/>
    <mergeCell ref="C69:D69"/>
    <mergeCell ref="C70:D70"/>
    <mergeCell ref="C71:D71"/>
    <mergeCell ref="C73:D73"/>
    <mergeCell ref="C77:D77"/>
    <mergeCell ref="C74:D74"/>
    <mergeCell ref="C75:D75"/>
    <mergeCell ref="C76:D76"/>
    <mergeCell ref="C78:D78"/>
    <mergeCell ref="I96:M96"/>
    <mergeCell ref="B122:K122"/>
    <mergeCell ref="C80:D80"/>
    <mergeCell ref="C81:D81"/>
    <mergeCell ref="B90:B93"/>
    <mergeCell ref="B84:B88"/>
    <mergeCell ref="C20:D20"/>
    <mergeCell ref="C25:D25"/>
    <mergeCell ref="C26:D26"/>
    <mergeCell ref="C82:D82"/>
    <mergeCell ref="B96:H96"/>
    <mergeCell ref="C56:D56"/>
    <mergeCell ref="C58:D58"/>
    <mergeCell ref="C59:D59"/>
    <mergeCell ref="C60:D60"/>
    <mergeCell ref="C61:D61"/>
    <mergeCell ref="C57:D57"/>
    <mergeCell ref="C62:D62"/>
    <mergeCell ref="C67:D67"/>
    <mergeCell ref="C72:D72"/>
    <mergeCell ref="C63:D63"/>
    <mergeCell ref="C64:D64"/>
    <mergeCell ref="C38:D38"/>
    <mergeCell ref="C22:D22"/>
    <mergeCell ref="C23:D23"/>
    <mergeCell ref="C24:D24"/>
    <mergeCell ref="C21:D21"/>
    <mergeCell ref="C37:D37"/>
    <mergeCell ref="C36:D36"/>
    <mergeCell ref="C33:D33"/>
    <mergeCell ref="C34:D34"/>
    <mergeCell ref="C35:D35"/>
  </mergeCells>
  <pageMargins left="0.7" right="0.7" top="0.75" bottom="0.75" header="0.3" footer="0.3"/>
  <pageSetup paperSize="9" orientation="portrait" r:id="rId1"/>
  <ignoredErrors>
    <ignoredError sqref="G57 G62 E69:F69 G67 E74:F74 G72 G77 I57:M57 I61:I62 I127 K127 K131 I131 H106 G19 I31 I10:M10 H82 H5 H4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Q36"/>
  <sheetViews>
    <sheetView workbookViewId="0"/>
  </sheetViews>
  <sheetFormatPr defaultColWidth="9.140625" defaultRowHeight="15" x14ac:dyDescent="0.25"/>
  <cols>
    <col min="1" max="1" width="31.28515625" customWidth="1"/>
    <col min="4" max="4" width="8.140625" customWidth="1"/>
    <col min="6" max="6" width="9.28515625" bestFit="1" customWidth="1"/>
    <col min="7" max="7" width="11" bestFit="1" customWidth="1"/>
    <col min="8" max="8" width="9.28515625" bestFit="1" customWidth="1"/>
    <col min="9" max="9" width="11" bestFit="1" customWidth="1"/>
    <col min="11" max="11" width="12" customWidth="1"/>
    <col min="13" max="13" width="11.28515625" customWidth="1"/>
    <col min="15" max="15" width="10.7109375" customWidth="1"/>
    <col min="16" max="16" width="11" bestFit="1" customWidth="1"/>
    <col min="17" max="17" width="51.7109375" customWidth="1"/>
  </cols>
  <sheetData>
    <row r="2" spans="1:17" x14ac:dyDescent="0.25">
      <c r="H2" s="417" t="s">
        <v>281</v>
      </c>
    </row>
    <row r="4" spans="1:17" x14ac:dyDescent="0.25">
      <c r="H4" s="417" t="s">
        <v>282</v>
      </c>
      <c r="P4" s="417" t="s">
        <v>283</v>
      </c>
    </row>
    <row r="6" spans="1:17" x14ac:dyDescent="0.25">
      <c r="A6" s="418" t="s">
        <v>284</v>
      </c>
      <c r="F6" s="800" t="s">
        <v>285</v>
      </c>
      <c r="G6" s="801"/>
      <c r="H6" s="800" t="s">
        <v>286</v>
      </c>
      <c r="I6" s="801"/>
      <c r="J6" s="800" t="s">
        <v>287</v>
      </c>
      <c r="K6" s="801"/>
      <c r="L6" s="800" t="s">
        <v>288</v>
      </c>
      <c r="M6" s="801"/>
      <c r="N6" s="800" t="s">
        <v>289</v>
      </c>
      <c r="O6" s="801"/>
    </row>
    <row r="7" spans="1:17" ht="25.5" x14ac:dyDescent="0.25">
      <c r="A7" s="419" t="s">
        <v>197</v>
      </c>
      <c r="B7" s="419" t="s">
        <v>198</v>
      </c>
      <c r="C7" s="419" t="s">
        <v>199</v>
      </c>
      <c r="D7" s="419" t="s">
        <v>200</v>
      </c>
      <c r="E7" s="419" t="s">
        <v>199</v>
      </c>
      <c r="F7" s="419" t="s">
        <v>290</v>
      </c>
      <c r="G7" s="419" t="s">
        <v>119</v>
      </c>
      <c r="H7" s="419" t="s">
        <v>290</v>
      </c>
      <c r="I7" s="419" t="s">
        <v>119</v>
      </c>
      <c r="J7" s="419" t="s">
        <v>290</v>
      </c>
      <c r="K7" s="419" t="s">
        <v>119</v>
      </c>
      <c r="L7" s="419" t="s">
        <v>290</v>
      </c>
      <c r="M7" s="419" t="s">
        <v>119</v>
      </c>
      <c r="N7" s="419" t="s">
        <v>290</v>
      </c>
      <c r="O7" s="419" t="s">
        <v>119</v>
      </c>
      <c r="P7" s="420" t="s">
        <v>202</v>
      </c>
      <c r="Q7" s="419" t="s">
        <v>205</v>
      </c>
    </row>
    <row r="8" spans="1:17" x14ac:dyDescent="0.25">
      <c r="A8" s="802" t="s">
        <v>206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4"/>
    </row>
    <row r="9" spans="1:17" s="426" customFormat="1" x14ac:dyDescent="0.25">
      <c r="A9" s="421" t="s">
        <v>291</v>
      </c>
      <c r="B9" s="421">
        <v>1</v>
      </c>
      <c r="C9" s="421" t="s">
        <v>208</v>
      </c>
      <c r="D9" s="422">
        <v>1350</v>
      </c>
      <c r="E9" s="423" t="s">
        <v>209</v>
      </c>
      <c r="F9" s="424">
        <v>9</v>
      </c>
      <c r="G9" s="424">
        <f>+F9*$D$9</f>
        <v>12150</v>
      </c>
      <c r="H9" s="424">
        <v>6</v>
      </c>
      <c r="I9" s="424">
        <f>+H9*$D$9</f>
        <v>8100</v>
      </c>
      <c r="J9" s="424">
        <v>6</v>
      </c>
      <c r="K9" s="424">
        <f>+J9*$D$9</f>
        <v>8100</v>
      </c>
      <c r="L9" s="424">
        <v>6</v>
      </c>
      <c r="M9" s="424">
        <f>+L9*$D$9</f>
        <v>8100</v>
      </c>
      <c r="N9" s="424">
        <v>12</v>
      </c>
      <c r="O9" s="424">
        <f>+N9*$D$9</f>
        <v>16200</v>
      </c>
      <c r="P9" s="424">
        <f>+G9+I9+K9+M9+O9</f>
        <v>52650</v>
      </c>
      <c r="Q9" s="425" t="s">
        <v>292</v>
      </c>
    </row>
    <row r="10" spans="1:17" x14ac:dyDescent="0.25">
      <c r="A10" s="427" t="s">
        <v>210</v>
      </c>
      <c r="B10" s="427">
        <v>1</v>
      </c>
      <c r="C10" s="427" t="s">
        <v>208</v>
      </c>
      <c r="D10" s="428">
        <v>1700</v>
      </c>
      <c r="E10" s="429" t="s">
        <v>209</v>
      </c>
      <c r="F10" s="430">
        <v>6</v>
      </c>
      <c r="G10" s="430">
        <f>+F10*$D$10</f>
        <v>10200</v>
      </c>
      <c r="H10" s="430">
        <v>6</v>
      </c>
      <c r="I10" s="430">
        <f>+H10*$D$10</f>
        <v>10200</v>
      </c>
      <c r="J10" s="430">
        <v>6</v>
      </c>
      <c r="K10" s="430">
        <f>+J10*$D$10</f>
        <v>10200</v>
      </c>
      <c r="L10" s="430">
        <v>6</v>
      </c>
      <c r="M10" s="430">
        <f>+L10*$D$10</f>
        <v>10200</v>
      </c>
      <c r="N10" s="430">
        <v>6</v>
      </c>
      <c r="O10" s="430">
        <f>+N10*$D$10</f>
        <v>10200</v>
      </c>
      <c r="P10" s="430">
        <f t="shared" ref="P10:P23" si="0">+G10+I10+K10+M10+O10</f>
        <v>51000</v>
      </c>
      <c r="Q10" s="431" t="s">
        <v>292</v>
      </c>
    </row>
    <row r="11" spans="1:17" x14ac:dyDescent="0.25">
      <c r="A11" s="427" t="s">
        <v>211</v>
      </c>
      <c r="B11" s="427">
        <v>1</v>
      </c>
      <c r="C11" s="427" t="s">
        <v>208</v>
      </c>
      <c r="D11" s="428">
        <v>600</v>
      </c>
      <c r="E11" s="429" t="s">
        <v>209</v>
      </c>
      <c r="F11" s="430">
        <v>4</v>
      </c>
      <c r="G11" s="430">
        <f t="shared" ref="G11:G17" si="1">+D11*F11</f>
        <v>2400</v>
      </c>
      <c r="H11" s="430">
        <v>4</v>
      </c>
      <c r="I11" s="430">
        <f t="shared" ref="I11:I17" si="2">+D11*H11</f>
        <v>2400</v>
      </c>
      <c r="J11" s="430">
        <v>4</v>
      </c>
      <c r="K11" s="430">
        <f t="shared" ref="K11:K17" si="3">+D11*J11</f>
        <v>2400</v>
      </c>
      <c r="L11" s="430">
        <v>4</v>
      </c>
      <c r="M11" s="430">
        <f t="shared" ref="M11:M17" si="4">+L11*D11</f>
        <v>2400</v>
      </c>
      <c r="N11" s="430">
        <v>4</v>
      </c>
      <c r="O11" s="430">
        <f t="shared" ref="O11:O17" si="5">+N11*D11</f>
        <v>2400</v>
      </c>
      <c r="P11" s="430">
        <f t="shared" si="0"/>
        <v>12000</v>
      </c>
      <c r="Q11" s="431" t="s">
        <v>292</v>
      </c>
    </row>
    <row r="12" spans="1:17" s="426" customFormat="1" x14ac:dyDescent="0.25">
      <c r="A12" s="432" t="s">
        <v>212</v>
      </c>
      <c r="B12" s="432">
        <v>1</v>
      </c>
      <c r="C12" s="432" t="s">
        <v>208</v>
      </c>
      <c r="D12" s="433">
        <v>1200</v>
      </c>
      <c r="E12" s="434" t="s">
        <v>209</v>
      </c>
      <c r="F12" s="435">
        <v>9</v>
      </c>
      <c r="G12" s="424">
        <f t="shared" si="1"/>
        <v>10800</v>
      </c>
      <c r="H12" s="435">
        <v>12</v>
      </c>
      <c r="I12" s="424">
        <f t="shared" si="2"/>
        <v>14400</v>
      </c>
      <c r="J12" s="435">
        <v>12</v>
      </c>
      <c r="K12" s="424">
        <f t="shared" si="3"/>
        <v>14400</v>
      </c>
      <c r="L12" s="435">
        <v>12</v>
      </c>
      <c r="M12" s="424">
        <f t="shared" si="4"/>
        <v>14400</v>
      </c>
      <c r="N12" s="435">
        <v>6</v>
      </c>
      <c r="O12" s="424">
        <f t="shared" si="5"/>
        <v>7200</v>
      </c>
      <c r="P12" s="424">
        <f t="shared" si="0"/>
        <v>61200</v>
      </c>
      <c r="Q12" s="436" t="s">
        <v>293</v>
      </c>
    </row>
    <row r="13" spans="1:17" s="426" customFormat="1" x14ac:dyDescent="0.25">
      <c r="A13" s="437" t="s">
        <v>294</v>
      </c>
      <c r="B13" s="421">
        <v>1</v>
      </c>
      <c r="C13" s="421" t="s">
        <v>208</v>
      </c>
      <c r="D13" s="422">
        <v>550</v>
      </c>
      <c r="E13" s="423" t="s">
        <v>209</v>
      </c>
      <c r="F13" s="424">
        <v>9</v>
      </c>
      <c r="G13" s="424">
        <f t="shared" si="1"/>
        <v>4950</v>
      </c>
      <c r="H13" s="424">
        <v>12</v>
      </c>
      <c r="I13" s="424">
        <f t="shared" si="2"/>
        <v>6600</v>
      </c>
      <c r="J13" s="424">
        <v>12</v>
      </c>
      <c r="K13" s="424">
        <f t="shared" si="3"/>
        <v>6600</v>
      </c>
      <c r="L13" s="424">
        <v>6</v>
      </c>
      <c r="M13" s="424">
        <f t="shared" si="4"/>
        <v>3300</v>
      </c>
      <c r="N13" s="424"/>
      <c r="O13" s="424">
        <f t="shared" si="5"/>
        <v>0</v>
      </c>
      <c r="P13" s="424">
        <f t="shared" si="0"/>
        <v>21450</v>
      </c>
      <c r="Q13" s="436" t="s">
        <v>293</v>
      </c>
    </row>
    <row r="14" spans="1:17" x14ac:dyDescent="0.25">
      <c r="A14" s="438" t="s">
        <v>295</v>
      </c>
      <c r="B14" s="427">
        <v>1</v>
      </c>
      <c r="C14" s="427" t="s">
        <v>208</v>
      </c>
      <c r="D14" s="428">
        <v>360</v>
      </c>
      <c r="E14" s="429" t="s">
        <v>209</v>
      </c>
      <c r="F14" s="430">
        <v>4</v>
      </c>
      <c r="G14" s="430">
        <f t="shared" si="1"/>
        <v>1440</v>
      </c>
      <c r="H14" s="430">
        <v>4</v>
      </c>
      <c r="I14" s="430">
        <f t="shared" si="2"/>
        <v>1440</v>
      </c>
      <c r="J14" s="430">
        <v>4</v>
      </c>
      <c r="K14" s="430">
        <f t="shared" si="3"/>
        <v>1440</v>
      </c>
      <c r="L14" s="430">
        <v>4</v>
      </c>
      <c r="M14" s="430">
        <f t="shared" si="4"/>
        <v>1440</v>
      </c>
      <c r="N14" s="430">
        <v>4</v>
      </c>
      <c r="O14" s="430">
        <f t="shared" si="5"/>
        <v>1440</v>
      </c>
      <c r="P14" s="430">
        <f t="shared" si="0"/>
        <v>7200</v>
      </c>
      <c r="Q14" s="431" t="s">
        <v>292</v>
      </c>
    </row>
    <row r="15" spans="1:17" x14ac:dyDescent="0.25">
      <c r="A15" s="438" t="s">
        <v>296</v>
      </c>
      <c r="B15" s="427">
        <v>1</v>
      </c>
      <c r="C15" s="427" t="s">
        <v>208</v>
      </c>
      <c r="D15" s="428">
        <v>250</v>
      </c>
      <c r="E15" s="429" t="s">
        <v>209</v>
      </c>
      <c r="F15" s="430">
        <v>12</v>
      </c>
      <c r="G15" s="430">
        <f t="shared" si="1"/>
        <v>3000</v>
      </c>
      <c r="H15" s="430">
        <v>12</v>
      </c>
      <c r="I15" s="430">
        <f t="shared" si="2"/>
        <v>3000</v>
      </c>
      <c r="J15" s="430">
        <v>12</v>
      </c>
      <c r="K15" s="430">
        <f t="shared" si="3"/>
        <v>3000</v>
      </c>
      <c r="L15" s="430">
        <v>12</v>
      </c>
      <c r="M15" s="430">
        <f t="shared" si="4"/>
        <v>3000</v>
      </c>
      <c r="N15" s="430">
        <v>12</v>
      </c>
      <c r="O15" s="430">
        <f t="shared" si="5"/>
        <v>3000</v>
      </c>
      <c r="P15" s="430">
        <f t="shared" si="0"/>
        <v>15000</v>
      </c>
      <c r="Q15" s="439" t="s">
        <v>293</v>
      </c>
    </row>
    <row r="16" spans="1:17" x14ac:dyDescent="0.25">
      <c r="A16" s="440" t="s">
        <v>297</v>
      </c>
      <c r="B16" s="441">
        <v>1</v>
      </c>
      <c r="C16" s="441" t="s">
        <v>208</v>
      </c>
      <c r="D16" s="442">
        <v>120</v>
      </c>
      <c r="E16" s="443" t="s">
        <v>209</v>
      </c>
      <c r="F16" s="444">
        <v>6</v>
      </c>
      <c r="G16" s="444">
        <f t="shared" si="1"/>
        <v>720</v>
      </c>
      <c r="H16" s="444">
        <v>6</v>
      </c>
      <c r="I16" s="444">
        <f t="shared" si="2"/>
        <v>720</v>
      </c>
      <c r="J16" s="444">
        <v>6</v>
      </c>
      <c r="K16" s="444">
        <f t="shared" si="3"/>
        <v>720</v>
      </c>
      <c r="L16" s="444">
        <v>6</v>
      </c>
      <c r="M16" s="444">
        <f t="shared" si="4"/>
        <v>720</v>
      </c>
      <c r="N16" s="444">
        <v>6</v>
      </c>
      <c r="O16" s="444">
        <f t="shared" si="5"/>
        <v>720</v>
      </c>
      <c r="P16" s="444">
        <f t="shared" si="0"/>
        <v>3600</v>
      </c>
      <c r="Q16" s="445" t="s">
        <v>292</v>
      </c>
    </row>
    <row r="17" spans="1:17" s="426" customFormat="1" x14ac:dyDescent="0.25">
      <c r="A17" s="421" t="s">
        <v>298</v>
      </c>
      <c r="B17" s="421">
        <v>2</v>
      </c>
      <c r="C17" s="446" t="s">
        <v>208</v>
      </c>
      <c r="D17" s="447">
        <v>300</v>
      </c>
      <c r="E17" s="423" t="s">
        <v>299</v>
      </c>
      <c r="F17" s="448">
        <v>14</v>
      </c>
      <c r="G17" s="448">
        <f t="shared" si="1"/>
        <v>4200</v>
      </c>
      <c r="H17" s="448">
        <v>14</v>
      </c>
      <c r="I17" s="448">
        <f t="shared" si="2"/>
        <v>4200</v>
      </c>
      <c r="J17" s="448">
        <v>14</v>
      </c>
      <c r="K17" s="448">
        <f t="shared" si="3"/>
        <v>4200</v>
      </c>
      <c r="L17" s="448">
        <v>14</v>
      </c>
      <c r="M17" s="448">
        <f t="shared" si="4"/>
        <v>4200</v>
      </c>
      <c r="N17" s="448">
        <v>14</v>
      </c>
      <c r="O17" s="448">
        <f t="shared" si="5"/>
        <v>4200</v>
      </c>
      <c r="P17" s="448">
        <f t="shared" si="0"/>
        <v>21000</v>
      </c>
      <c r="Q17" s="425" t="s">
        <v>300</v>
      </c>
    </row>
    <row r="18" spans="1:17" x14ac:dyDescent="0.25">
      <c r="A18" s="449" t="s">
        <v>220</v>
      </c>
      <c r="B18" s="449"/>
      <c r="C18" s="449"/>
      <c r="D18" s="449"/>
      <c r="E18" s="449"/>
      <c r="F18" s="449"/>
      <c r="G18" s="450">
        <f>SUM(G9:G17)</f>
        <v>49860</v>
      </c>
      <c r="H18" s="449"/>
      <c r="I18" s="450">
        <f>SUM(I9:I17)</f>
        <v>51060</v>
      </c>
      <c r="J18" s="449"/>
      <c r="K18" s="450">
        <f>SUM(K9:K17)</f>
        <v>51060</v>
      </c>
      <c r="L18" s="449"/>
      <c r="M18" s="450">
        <f>SUM(M9:M17)</f>
        <v>47760</v>
      </c>
      <c r="N18" s="449"/>
      <c r="O18" s="450">
        <f>SUM(O9:O17)</f>
        <v>45360</v>
      </c>
      <c r="P18" s="450">
        <f>SUM(P9:P17)</f>
        <v>245100</v>
      </c>
      <c r="Q18" s="451"/>
    </row>
    <row r="19" spans="1:17" x14ac:dyDescent="0.25">
      <c r="A19" s="794" t="s">
        <v>301</v>
      </c>
      <c r="B19" s="795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6"/>
    </row>
    <row r="20" spans="1:17" x14ac:dyDescent="0.25">
      <c r="A20" s="452" t="s">
        <v>302</v>
      </c>
      <c r="B20" s="427">
        <v>1</v>
      </c>
      <c r="C20" s="427" t="s">
        <v>219</v>
      </c>
      <c r="D20" s="453">
        <v>1200</v>
      </c>
      <c r="E20" s="429" t="s">
        <v>209</v>
      </c>
      <c r="F20" s="429">
        <v>4</v>
      </c>
      <c r="G20" s="429">
        <f>+F20*D20</f>
        <v>4800</v>
      </c>
      <c r="H20" s="429">
        <v>4</v>
      </c>
      <c r="I20" s="429">
        <f>+D20*H20</f>
        <v>4800</v>
      </c>
      <c r="J20" s="429">
        <v>4</v>
      </c>
      <c r="K20" s="429">
        <f>+D20*J20</f>
        <v>4800</v>
      </c>
      <c r="L20" s="429">
        <v>4</v>
      </c>
      <c r="M20" s="429">
        <f>+L20*D20</f>
        <v>4800</v>
      </c>
      <c r="N20" s="429">
        <v>4</v>
      </c>
      <c r="O20" s="429">
        <f>+N20*D20</f>
        <v>4800</v>
      </c>
      <c r="P20" s="453">
        <f t="shared" si="0"/>
        <v>24000</v>
      </c>
      <c r="Q20" s="454" t="s">
        <v>303</v>
      </c>
    </row>
    <row r="21" spans="1:17" ht="26.25" x14ac:dyDescent="0.25">
      <c r="A21" s="455" t="s">
        <v>304</v>
      </c>
      <c r="B21" s="427">
        <v>1</v>
      </c>
      <c r="C21" s="427" t="s">
        <v>219</v>
      </c>
      <c r="D21" s="453">
        <v>200</v>
      </c>
      <c r="E21" s="429" t="s">
        <v>209</v>
      </c>
      <c r="F21" s="429">
        <v>12</v>
      </c>
      <c r="G21" s="429">
        <f>+F21*D21</f>
        <v>2400</v>
      </c>
      <c r="H21" s="429">
        <v>12</v>
      </c>
      <c r="I21" s="429">
        <f>+D21*H21</f>
        <v>2400</v>
      </c>
      <c r="J21" s="429">
        <v>12</v>
      </c>
      <c r="K21" s="429">
        <f>+D21*J21</f>
        <v>2400</v>
      </c>
      <c r="L21" s="429">
        <v>12</v>
      </c>
      <c r="M21" s="429">
        <f>+L21*D21</f>
        <v>2400</v>
      </c>
      <c r="N21" s="429">
        <v>12</v>
      </c>
      <c r="O21" s="429">
        <f>+N21*D21</f>
        <v>2400</v>
      </c>
      <c r="P21" s="453">
        <f t="shared" si="0"/>
        <v>12000</v>
      </c>
      <c r="Q21" s="456"/>
    </row>
    <row r="22" spans="1:17" ht="29.25" customHeight="1" x14ac:dyDescent="0.25">
      <c r="A22" s="457" t="s">
        <v>222</v>
      </c>
      <c r="B22" s="458">
        <v>1</v>
      </c>
      <c r="C22" s="458" t="s">
        <v>219</v>
      </c>
      <c r="D22" s="453">
        <v>200</v>
      </c>
      <c r="E22" s="429" t="s">
        <v>209</v>
      </c>
      <c r="F22" s="459">
        <v>12</v>
      </c>
      <c r="G22" s="429">
        <f>+F22*D22</f>
        <v>2400</v>
      </c>
      <c r="H22" s="459">
        <v>12</v>
      </c>
      <c r="I22" s="429">
        <f>+D22*H22</f>
        <v>2400</v>
      </c>
      <c r="J22" s="459">
        <v>12</v>
      </c>
      <c r="K22" s="429">
        <f>+D22*J22</f>
        <v>2400</v>
      </c>
      <c r="L22" s="459">
        <v>12</v>
      </c>
      <c r="M22" s="429">
        <f>+L22*D22</f>
        <v>2400</v>
      </c>
      <c r="N22" s="459">
        <v>12</v>
      </c>
      <c r="O22" s="429">
        <f>+N22*D22</f>
        <v>2400</v>
      </c>
      <c r="P22" s="453">
        <f t="shared" si="0"/>
        <v>12000</v>
      </c>
      <c r="Q22" s="460"/>
    </row>
    <row r="23" spans="1:17" x14ac:dyDescent="0.25">
      <c r="A23" s="461" t="s">
        <v>305</v>
      </c>
      <c r="B23" s="427">
        <v>1</v>
      </c>
      <c r="C23" s="427" t="s">
        <v>219</v>
      </c>
      <c r="D23" s="453">
        <v>240</v>
      </c>
      <c r="E23" s="429" t="s">
        <v>209</v>
      </c>
      <c r="F23" s="429">
        <v>12</v>
      </c>
      <c r="G23" s="429">
        <f>+F23*D23</f>
        <v>2880</v>
      </c>
      <c r="H23" s="429">
        <v>12</v>
      </c>
      <c r="I23" s="429">
        <f>+D23*H23</f>
        <v>2880</v>
      </c>
      <c r="J23" s="429">
        <v>12</v>
      </c>
      <c r="K23" s="429">
        <f>+D23*J23</f>
        <v>2880</v>
      </c>
      <c r="L23" s="429">
        <v>12</v>
      </c>
      <c r="M23" s="429">
        <f>+L23*D23</f>
        <v>2880</v>
      </c>
      <c r="N23" s="429">
        <v>12</v>
      </c>
      <c r="O23" s="429">
        <f>+N23*D23</f>
        <v>2880</v>
      </c>
      <c r="P23" s="453">
        <f t="shared" si="0"/>
        <v>14400</v>
      </c>
      <c r="Q23" s="454" t="s">
        <v>306</v>
      </c>
    </row>
    <row r="24" spans="1:17" x14ac:dyDescent="0.25">
      <c r="A24" s="449" t="s">
        <v>226</v>
      </c>
      <c r="B24" s="449"/>
      <c r="C24" s="449"/>
      <c r="D24" s="449"/>
      <c r="E24" s="449"/>
      <c r="F24" s="449"/>
      <c r="G24" s="462">
        <f>SUM(G20:G23)</f>
        <v>12480</v>
      </c>
      <c r="H24" s="449"/>
      <c r="I24" s="462">
        <f>SUM(I20:I23)</f>
        <v>12480</v>
      </c>
      <c r="J24" s="449"/>
      <c r="K24" s="462">
        <f>SUM(K20:K23)</f>
        <v>12480</v>
      </c>
      <c r="L24" s="449"/>
      <c r="M24" s="462">
        <f>SUM(M20:M23)</f>
        <v>12480</v>
      </c>
      <c r="N24" s="449"/>
      <c r="O24" s="462">
        <f>SUM(O20:O23)</f>
        <v>12480</v>
      </c>
      <c r="P24" s="462">
        <f>SUM(P20:P23)</f>
        <v>62400</v>
      </c>
      <c r="Q24" s="451"/>
    </row>
    <row r="25" spans="1:17" x14ac:dyDescent="0.25">
      <c r="A25" s="463" t="s">
        <v>227</v>
      </c>
      <c r="B25" s="464"/>
      <c r="C25" s="464"/>
      <c r="D25" s="465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7"/>
    </row>
    <row r="26" spans="1:17" x14ac:dyDescent="0.25">
      <c r="A26" s="461" t="s">
        <v>495</v>
      </c>
      <c r="B26" s="468">
        <v>1</v>
      </c>
      <c r="C26" s="427" t="s">
        <v>307</v>
      </c>
      <c r="D26" s="428">
        <v>450</v>
      </c>
      <c r="E26" s="429" t="s">
        <v>209</v>
      </c>
      <c r="F26" s="459">
        <v>12</v>
      </c>
      <c r="G26" s="429">
        <f>+F26*D26</f>
        <v>5400</v>
      </c>
      <c r="H26" s="459">
        <v>12</v>
      </c>
      <c r="I26" s="429">
        <f>+D26*H26</f>
        <v>5400</v>
      </c>
      <c r="J26" s="459">
        <v>12</v>
      </c>
      <c r="K26" s="429">
        <f>+D26*J26</f>
        <v>5400</v>
      </c>
      <c r="L26" s="459">
        <v>12</v>
      </c>
      <c r="M26" s="429">
        <f>+L26*D26</f>
        <v>5400</v>
      </c>
      <c r="N26" s="459">
        <v>12</v>
      </c>
      <c r="O26" s="429">
        <f>+N26*D26</f>
        <v>5400</v>
      </c>
      <c r="P26" s="453">
        <f>+G26+I26+K26+M26+O26</f>
        <v>27000</v>
      </c>
      <c r="Q26" s="454" t="s">
        <v>308</v>
      </c>
    </row>
    <row r="27" spans="1:17" x14ac:dyDescent="0.25">
      <c r="A27" s="427" t="s">
        <v>228</v>
      </c>
      <c r="B27" s="469">
        <v>2</v>
      </c>
      <c r="C27" s="427" t="s">
        <v>307</v>
      </c>
      <c r="D27" s="428">
        <v>450</v>
      </c>
      <c r="E27" s="429" t="s">
        <v>209</v>
      </c>
      <c r="F27" s="459">
        <v>12</v>
      </c>
      <c r="G27" s="429">
        <f>+F27*D27</f>
        <v>5400</v>
      </c>
      <c r="H27" s="459">
        <v>12</v>
      </c>
      <c r="I27" s="429">
        <f>+D27*H27</f>
        <v>5400</v>
      </c>
      <c r="J27" s="459">
        <v>12</v>
      </c>
      <c r="K27" s="429">
        <f>+D27*J27</f>
        <v>5400</v>
      </c>
      <c r="L27" s="459">
        <v>12</v>
      </c>
      <c r="M27" s="429">
        <f>+L27*D27</f>
        <v>5400</v>
      </c>
      <c r="N27" s="459">
        <v>12</v>
      </c>
      <c r="O27" s="429">
        <f>+N27*D27</f>
        <v>5400</v>
      </c>
      <c r="P27" s="453">
        <f>+G27+I27+K27+M27+O27</f>
        <v>27000</v>
      </c>
      <c r="Q27" s="456" t="s">
        <v>309</v>
      </c>
    </row>
    <row r="28" spans="1:17" x14ac:dyDescent="0.25">
      <c r="A28" s="427" t="s">
        <v>231</v>
      </c>
      <c r="B28" s="427">
        <v>2</v>
      </c>
      <c r="C28" s="427" t="s">
        <v>307</v>
      </c>
      <c r="D28" s="428">
        <v>400</v>
      </c>
      <c r="E28" s="429" t="s">
        <v>310</v>
      </c>
      <c r="F28" s="429"/>
      <c r="G28" s="428">
        <v>400</v>
      </c>
      <c r="H28" s="429"/>
      <c r="I28" s="428">
        <v>400</v>
      </c>
      <c r="J28" s="429"/>
      <c r="K28" s="428">
        <v>400</v>
      </c>
      <c r="L28" s="429"/>
      <c r="M28" s="428">
        <v>400</v>
      </c>
      <c r="N28" s="429"/>
      <c r="O28" s="428">
        <v>400</v>
      </c>
      <c r="P28" s="453">
        <f>+G28+I28+K28+M28+O28</f>
        <v>2000</v>
      </c>
      <c r="Q28" s="456" t="s">
        <v>309</v>
      </c>
    </row>
    <row r="29" spans="1:17" x14ac:dyDescent="0.25">
      <c r="A29" s="470" t="s">
        <v>311</v>
      </c>
      <c r="B29" s="471"/>
      <c r="C29" s="471"/>
      <c r="D29" s="471"/>
      <c r="E29" s="471"/>
      <c r="F29" s="471"/>
      <c r="G29" s="462">
        <f>SUM(G26:G28)</f>
        <v>11200</v>
      </c>
      <c r="H29" s="471"/>
      <c r="I29" s="462">
        <f>SUM(I26:I28)</f>
        <v>11200</v>
      </c>
      <c r="J29" s="471"/>
      <c r="K29" s="462">
        <f>SUM(K26:K28)</f>
        <v>11200</v>
      </c>
      <c r="L29" s="471"/>
      <c r="M29" s="462">
        <f>SUM(M26:M28)</f>
        <v>11200</v>
      </c>
      <c r="N29" s="471"/>
      <c r="O29" s="462">
        <f>SUM(O26:O28)</f>
        <v>11200</v>
      </c>
      <c r="P29" s="462">
        <f>SUM(P26:P28)</f>
        <v>56000</v>
      </c>
      <c r="Q29" s="451"/>
    </row>
    <row r="30" spans="1:17" x14ac:dyDescent="0.25">
      <c r="A30" s="797" t="s">
        <v>164</v>
      </c>
      <c r="B30" s="798"/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9"/>
      <c r="Q30" s="472"/>
    </row>
    <row r="31" spans="1:17" x14ac:dyDescent="0.25">
      <c r="A31" s="473" t="s">
        <v>243</v>
      </c>
      <c r="B31" s="427">
        <v>1</v>
      </c>
      <c r="C31" s="427" t="s">
        <v>312</v>
      </c>
      <c r="D31" s="474">
        <v>510</v>
      </c>
      <c r="E31" s="429">
        <v>1</v>
      </c>
      <c r="F31" s="429"/>
      <c r="G31" s="429">
        <v>510</v>
      </c>
      <c r="H31" s="429"/>
      <c r="I31" s="429"/>
      <c r="J31" s="429"/>
      <c r="K31" s="429"/>
      <c r="L31" s="429"/>
      <c r="M31" s="429"/>
      <c r="N31" s="429"/>
      <c r="O31" s="429"/>
      <c r="P31" s="453">
        <f>+G31+I31+K31+M31+O31</f>
        <v>510</v>
      </c>
      <c r="Q31" s="456" t="s">
        <v>309</v>
      </c>
    </row>
    <row r="32" spans="1:17" x14ac:dyDescent="0.25">
      <c r="A32" s="473" t="s">
        <v>494</v>
      </c>
      <c r="B32" s="427">
        <v>1</v>
      </c>
      <c r="C32" s="427" t="s">
        <v>312</v>
      </c>
      <c r="D32" s="474">
        <v>9000</v>
      </c>
      <c r="E32" s="429"/>
      <c r="F32" s="429"/>
      <c r="G32" s="429">
        <v>9000</v>
      </c>
      <c r="H32" s="429"/>
      <c r="I32" s="429"/>
      <c r="J32" s="429"/>
      <c r="K32" s="429"/>
      <c r="L32" s="429"/>
      <c r="M32" s="429"/>
      <c r="N32" s="429"/>
      <c r="O32" s="429"/>
      <c r="P32" s="453">
        <f>+G32+I32+K32+M32+O32</f>
        <v>9000</v>
      </c>
      <c r="Q32" s="456"/>
    </row>
    <row r="33" spans="1:17" x14ac:dyDescent="0.25">
      <c r="A33" s="475" t="s">
        <v>135</v>
      </c>
      <c r="B33" s="427">
        <v>1</v>
      </c>
      <c r="C33" s="427" t="s">
        <v>312</v>
      </c>
      <c r="D33" s="428">
        <v>350</v>
      </c>
      <c r="E33" s="429">
        <v>1</v>
      </c>
      <c r="F33" s="429"/>
      <c r="G33" s="429">
        <v>350</v>
      </c>
      <c r="H33" s="429"/>
      <c r="I33" s="429"/>
      <c r="J33" s="429"/>
      <c r="K33" s="429"/>
      <c r="L33" s="429"/>
      <c r="M33" s="429"/>
      <c r="N33" s="429"/>
      <c r="O33" s="429"/>
      <c r="P33" s="453">
        <f>+G33+I33+K33+M33+O33</f>
        <v>350</v>
      </c>
      <c r="Q33" s="456"/>
    </row>
    <row r="34" spans="1:17" x14ac:dyDescent="0.25">
      <c r="A34" s="473" t="s">
        <v>245</v>
      </c>
      <c r="B34" s="469">
        <v>1</v>
      </c>
      <c r="C34" s="427" t="s">
        <v>312</v>
      </c>
      <c r="D34" s="474">
        <v>140</v>
      </c>
      <c r="E34" s="476">
        <v>1</v>
      </c>
      <c r="F34" s="476"/>
      <c r="G34" s="429">
        <v>140</v>
      </c>
      <c r="H34" s="476"/>
      <c r="I34" s="476"/>
      <c r="J34" s="476"/>
      <c r="K34" s="476"/>
      <c r="L34" s="476"/>
      <c r="M34" s="476"/>
      <c r="N34" s="476"/>
      <c r="O34" s="476"/>
      <c r="P34" s="453">
        <f>+G34+I34+K34+M34+O34</f>
        <v>140</v>
      </c>
      <c r="Q34" s="477"/>
    </row>
    <row r="35" spans="1:17" x14ac:dyDescent="0.25">
      <c r="A35" s="470" t="s">
        <v>246</v>
      </c>
      <c r="B35" s="449"/>
      <c r="C35" s="449"/>
      <c r="D35" s="449"/>
      <c r="E35" s="449"/>
      <c r="F35" s="449"/>
      <c r="G35" s="462">
        <f>SUM(G31:G34)</f>
        <v>10000</v>
      </c>
      <c r="H35" s="449"/>
      <c r="I35" s="449"/>
      <c r="J35" s="449"/>
      <c r="K35" s="449"/>
      <c r="L35" s="449"/>
      <c r="M35" s="449"/>
      <c r="N35" s="449"/>
      <c r="O35" s="449"/>
      <c r="P35" s="462">
        <f>SUM(P31:P34)</f>
        <v>10000</v>
      </c>
      <c r="Q35" s="451"/>
    </row>
    <row r="36" spans="1:17" x14ac:dyDescent="0.25">
      <c r="A36" s="478" t="s">
        <v>313</v>
      </c>
      <c r="B36" s="479"/>
      <c r="C36" s="479"/>
      <c r="D36" s="479"/>
      <c r="E36" s="479"/>
      <c r="F36" s="479"/>
      <c r="G36" s="480">
        <f>+G18+G24+G29+G35</f>
        <v>83540</v>
      </c>
      <c r="H36" s="479"/>
      <c r="I36" s="480">
        <f>+I18+I24+I29+I35</f>
        <v>74740</v>
      </c>
      <c r="J36" s="479"/>
      <c r="K36" s="480">
        <f>+K18+K24+K29+K35</f>
        <v>74740</v>
      </c>
      <c r="L36" s="479"/>
      <c r="M36" s="480">
        <f>+M18+M24+M29+M35</f>
        <v>71440</v>
      </c>
      <c r="N36" s="479"/>
      <c r="O36" s="480">
        <f>+O18+O24+O29+O35</f>
        <v>69040</v>
      </c>
      <c r="P36" s="480">
        <f>+P18+P24+P29+P35</f>
        <v>373500</v>
      </c>
      <c r="Q36" s="481"/>
    </row>
  </sheetData>
  <mergeCells count="8">
    <mergeCell ref="A19:Q19"/>
    <mergeCell ref="A30:P30"/>
    <mergeCell ref="F6:G6"/>
    <mergeCell ref="H6:I6"/>
    <mergeCell ref="J6:K6"/>
    <mergeCell ref="L6:M6"/>
    <mergeCell ref="N6:O6"/>
    <mergeCell ref="A8:Q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B2:M77"/>
  <sheetViews>
    <sheetView zoomScaleNormal="100" workbookViewId="0"/>
  </sheetViews>
  <sheetFormatPr defaultColWidth="11.42578125" defaultRowHeight="12.75" x14ac:dyDescent="0.2"/>
  <cols>
    <col min="1" max="1" width="1.42578125" style="190" customWidth="1"/>
    <col min="2" max="2" width="67.85546875" style="190" customWidth="1"/>
    <col min="3" max="3" width="7.7109375" style="190" bestFit="1" customWidth="1"/>
    <col min="4" max="4" width="9.140625" style="190" customWidth="1"/>
    <col min="5" max="6" width="11.42578125" style="190"/>
    <col min="7" max="7" width="1.42578125" style="190" customWidth="1"/>
    <col min="8" max="8" width="2.85546875" style="560" customWidth="1"/>
    <col min="9" max="12" width="10.42578125" style="190" customWidth="1"/>
    <col min="13" max="16384" width="11.42578125" style="190"/>
  </cols>
  <sheetData>
    <row r="2" spans="2:13" ht="13.5" thickBot="1" x14ac:dyDescent="0.25">
      <c r="I2" s="658" t="s">
        <v>362</v>
      </c>
      <c r="J2" s="658"/>
      <c r="K2" s="658"/>
      <c r="L2" s="658"/>
      <c r="M2" s="658"/>
    </row>
    <row r="3" spans="2:13" ht="26.25" thickBot="1" x14ac:dyDescent="0.25">
      <c r="C3" s="61" t="s">
        <v>22</v>
      </c>
      <c r="D3" s="62" t="s">
        <v>23</v>
      </c>
      <c r="E3" s="62" t="s">
        <v>25</v>
      </c>
      <c r="F3" s="482" t="s">
        <v>26</v>
      </c>
      <c r="I3" s="563" t="s">
        <v>368</v>
      </c>
      <c r="J3" s="563" t="s">
        <v>369</v>
      </c>
      <c r="K3" s="563" t="s">
        <v>370</v>
      </c>
      <c r="L3" s="563" t="s">
        <v>367</v>
      </c>
      <c r="M3" s="612" t="s">
        <v>380</v>
      </c>
    </row>
    <row r="4" spans="2:13" ht="13.5" thickBot="1" x14ac:dyDescent="0.25">
      <c r="C4" s="32"/>
      <c r="D4" s="33"/>
      <c r="E4" s="33"/>
      <c r="F4" s="483"/>
      <c r="I4" s="564" t="str">
        <f>IF(I5-'IDP Invest'!H60=0,"ok","faux")</f>
        <v>ok</v>
      </c>
      <c r="J4" s="564" t="str">
        <f>IF(J5-'IDP Office '!H66=0,"ok","faux")</f>
        <v>ok</v>
      </c>
      <c r="K4" s="564" t="str">
        <f>IF(K5-'IDP Expat'!K27=0,"ok","faux")</f>
        <v>ok</v>
      </c>
      <c r="L4" s="564" t="str">
        <f>IF(L5-'IDP Vehicles'!K58=0,"ok","faux")</f>
        <v>ok</v>
      </c>
      <c r="M4" s="564" t="str">
        <f>IF(M5-'IDP personal'!L13=0,"ok","faux")</f>
        <v>ok</v>
      </c>
    </row>
    <row r="5" spans="2:13" ht="25.5" customHeight="1" thickBot="1" x14ac:dyDescent="0.25">
      <c r="B5" s="275" t="s">
        <v>0</v>
      </c>
      <c r="C5" s="276"/>
      <c r="D5" s="277"/>
      <c r="E5" s="278">
        <f>E8+E16++E21+E24+E28+E35+E44+E55+E59+E63+E73</f>
        <v>258754</v>
      </c>
      <c r="F5" s="278">
        <f>F8+F16++F21+F24+F28+F35+F44+F55+F59+F63+F73</f>
        <v>951474</v>
      </c>
      <c r="I5" s="565">
        <f>SUM(I6:I77)</f>
        <v>90710</v>
      </c>
      <c r="J5" s="565">
        <f>SUM(J6:J77)</f>
        <v>26940</v>
      </c>
      <c r="K5" s="565">
        <f>SUM(K6:K77)</f>
        <v>71684</v>
      </c>
      <c r="L5" s="584">
        <f>SUM(L6:L77)</f>
        <v>15144</v>
      </c>
      <c r="M5" s="584">
        <f>SUM(M6:M77)</f>
        <v>48188</v>
      </c>
    </row>
    <row r="6" spans="2:13" x14ac:dyDescent="0.2">
      <c r="B6" s="279"/>
      <c r="C6" s="32"/>
      <c r="D6" s="33"/>
      <c r="E6" s="33"/>
      <c r="F6" s="483"/>
    </row>
    <row r="7" spans="2:13" x14ac:dyDescent="0.2">
      <c r="B7" s="280" t="s">
        <v>1</v>
      </c>
      <c r="C7" s="32"/>
      <c r="D7" s="33"/>
      <c r="E7" s="33"/>
      <c r="F7" s="483"/>
    </row>
    <row r="8" spans="2:13" x14ac:dyDescent="0.2">
      <c r="B8" s="280" t="s">
        <v>2</v>
      </c>
      <c r="C8" s="32"/>
      <c r="D8" s="33"/>
      <c r="E8" s="281">
        <f>SUM(E9:E14)</f>
        <v>71684</v>
      </c>
      <c r="F8" s="484">
        <f>SUM(F9:F14)</f>
        <v>358420</v>
      </c>
    </row>
    <row r="9" spans="2:13" x14ac:dyDescent="0.2">
      <c r="B9" s="126" t="s">
        <v>3</v>
      </c>
      <c r="C9" s="32" t="s">
        <v>24</v>
      </c>
      <c r="D9" s="33">
        <v>12</v>
      </c>
      <c r="E9" s="63">
        <f>'IDP Expat'!K20</f>
        <v>41892</v>
      </c>
      <c r="F9" s="485">
        <f>E9*5</f>
        <v>209460</v>
      </c>
      <c r="H9" s="560" t="s">
        <v>363</v>
      </c>
      <c r="K9" s="561">
        <f>E9</f>
        <v>41892</v>
      </c>
    </row>
    <row r="10" spans="2:13" x14ac:dyDescent="0.2">
      <c r="B10" s="127" t="s">
        <v>4</v>
      </c>
      <c r="C10" s="32" t="s">
        <v>27</v>
      </c>
      <c r="D10" s="33">
        <v>12</v>
      </c>
      <c r="E10" s="63">
        <f>'IDP Expat'!K21</f>
        <v>15600</v>
      </c>
      <c r="F10" s="485">
        <f t="shared" ref="F10:F14" si="0">E10*5</f>
        <v>78000</v>
      </c>
      <c r="H10" s="560" t="s">
        <v>363</v>
      </c>
      <c r="K10" s="561">
        <f t="shared" ref="K10:K14" si="1">E10</f>
        <v>15600</v>
      </c>
    </row>
    <row r="11" spans="2:13" x14ac:dyDescent="0.2">
      <c r="B11" s="128" t="s">
        <v>5</v>
      </c>
      <c r="C11" s="32" t="s">
        <v>28</v>
      </c>
      <c r="D11" s="33">
        <v>1</v>
      </c>
      <c r="E11" s="63">
        <f>'IDP Expat'!K22</f>
        <v>5240</v>
      </c>
      <c r="F11" s="485">
        <f t="shared" si="0"/>
        <v>26200</v>
      </c>
      <c r="H11" s="560" t="s">
        <v>363</v>
      </c>
      <c r="K11" s="561">
        <f t="shared" si="1"/>
        <v>5240</v>
      </c>
    </row>
    <row r="12" spans="2:13" x14ac:dyDescent="0.2">
      <c r="B12" s="128" t="s">
        <v>6</v>
      </c>
      <c r="C12" s="32" t="s">
        <v>44</v>
      </c>
      <c r="D12" s="33">
        <v>1</v>
      </c>
      <c r="E12" s="63">
        <f>'IDP Expat'!K23</f>
        <v>152</v>
      </c>
      <c r="F12" s="485">
        <f t="shared" si="0"/>
        <v>760</v>
      </c>
      <c r="H12" s="560" t="s">
        <v>363</v>
      </c>
      <c r="K12" s="561">
        <f t="shared" si="1"/>
        <v>152</v>
      </c>
    </row>
    <row r="13" spans="2:13" x14ac:dyDescent="0.2">
      <c r="B13" s="128" t="s">
        <v>7</v>
      </c>
      <c r="C13" s="32" t="s">
        <v>44</v>
      </c>
      <c r="D13" s="33">
        <v>1</v>
      </c>
      <c r="E13" s="63">
        <f>'IDP Expat'!K24</f>
        <v>5500</v>
      </c>
      <c r="F13" s="485">
        <f t="shared" si="0"/>
        <v>27500</v>
      </c>
      <c r="H13" s="560" t="s">
        <v>363</v>
      </c>
      <c r="K13" s="561">
        <f t="shared" si="1"/>
        <v>5500</v>
      </c>
    </row>
    <row r="14" spans="2:13" ht="15" customHeight="1" x14ac:dyDescent="0.2">
      <c r="B14" s="129" t="s">
        <v>8</v>
      </c>
      <c r="C14" s="32" t="s">
        <v>44</v>
      </c>
      <c r="D14" s="33">
        <v>1</v>
      </c>
      <c r="E14" s="63">
        <f>'IDP Expat'!K25</f>
        <v>3300</v>
      </c>
      <c r="F14" s="485">
        <f t="shared" si="0"/>
        <v>16500</v>
      </c>
      <c r="H14" s="560" t="s">
        <v>363</v>
      </c>
      <c r="K14" s="561">
        <f t="shared" si="1"/>
        <v>3300</v>
      </c>
    </row>
    <row r="15" spans="2:13" ht="5.25" customHeight="1" x14ac:dyDescent="0.2">
      <c r="B15" s="279"/>
      <c r="C15" s="32"/>
      <c r="D15" s="33"/>
      <c r="E15" s="33"/>
      <c r="F15" s="485"/>
    </row>
    <row r="16" spans="2:13" x14ac:dyDescent="0.2">
      <c r="B16" s="280" t="s">
        <v>9</v>
      </c>
      <c r="C16" s="32"/>
      <c r="D16" s="33"/>
      <c r="E16" s="281">
        <f>SUM(E17:E19)</f>
        <v>46476</v>
      </c>
      <c r="F16" s="484">
        <f>SUM(F17:F19)</f>
        <v>232380</v>
      </c>
      <c r="M16" s="561">
        <f>E17</f>
        <v>19668</v>
      </c>
    </row>
    <row r="17" spans="2:13" x14ac:dyDescent="0.2">
      <c r="B17" s="130" t="s">
        <v>29</v>
      </c>
      <c r="C17" s="32" t="s">
        <v>24</v>
      </c>
      <c r="D17" s="33">
        <v>12</v>
      </c>
      <c r="E17" s="63">
        <f>'IDP personal'!L8</f>
        <v>19668</v>
      </c>
      <c r="F17" s="485">
        <f>E17*5</f>
        <v>98340</v>
      </c>
      <c r="H17" s="560" t="s">
        <v>363</v>
      </c>
      <c r="M17" s="561">
        <f t="shared" ref="M17:M18" si="2">E18</f>
        <v>21228</v>
      </c>
    </row>
    <row r="18" spans="2:13" x14ac:dyDescent="0.2">
      <c r="B18" s="130" t="s">
        <v>385</v>
      </c>
      <c r="C18" s="32" t="s">
        <v>24</v>
      </c>
      <c r="D18" s="33">
        <v>12</v>
      </c>
      <c r="E18" s="63">
        <f>'IDP personal'!L9</f>
        <v>21228</v>
      </c>
      <c r="F18" s="485">
        <f t="shared" ref="F18:F19" si="3">E18*5</f>
        <v>106140</v>
      </c>
      <c r="H18" s="560" t="s">
        <v>363</v>
      </c>
      <c r="M18" s="561">
        <f t="shared" si="2"/>
        <v>5580</v>
      </c>
    </row>
    <row r="19" spans="2:13" x14ac:dyDescent="0.2">
      <c r="B19" s="130" t="s">
        <v>120</v>
      </c>
      <c r="C19" s="32" t="s">
        <v>24</v>
      </c>
      <c r="D19" s="33">
        <v>12</v>
      </c>
      <c r="E19" s="63">
        <f>'IDP personal'!L11</f>
        <v>5580</v>
      </c>
      <c r="F19" s="485">
        <f t="shared" si="3"/>
        <v>27900</v>
      </c>
      <c r="H19" s="560" t="s">
        <v>363</v>
      </c>
    </row>
    <row r="20" spans="2:13" ht="6" customHeight="1" x14ac:dyDescent="0.2">
      <c r="B20" s="130"/>
      <c r="C20" s="32"/>
      <c r="D20" s="33"/>
      <c r="E20" s="63"/>
      <c r="F20" s="485"/>
    </row>
    <row r="21" spans="2:13" x14ac:dyDescent="0.2">
      <c r="B21" s="131" t="s">
        <v>141</v>
      </c>
      <c r="C21" s="32"/>
      <c r="D21" s="33"/>
      <c r="E21" s="63"/>
      <c r="F21" s="484">
        <f>F22</f>
        <v>20544</v>
      </c>
    </row>
    <row r="22" spans="2:13" x14ac:dyDescent="0.2">
      <c r="B22" s="130" t="s">
        <v>142</v>
      </c>
      <c r="C22" s="32" t="s">
        <v>24</v>
      </c>
      <c r="D22" s="33">
        <v>12</v>
      </c>
      <c r="E22" s="63">
        <f>'IDP personal'!L10</f>
        <v>1712</v>
      </c>
      <c r="F22" s="485">
        <f>D22*E22</f>
        <v>20544</v>
      </c>
      <c r="H22" s="560" t="s">
        <v>363</v>
      </c>
      <c r="M22" s="561">
        <f>E22</f>
        <v>1712</v>
      </c>
    </row>
    <row r="23" spans="2:13" ht="6" customHeight="1" x14ac:dyDescent="0.2">
      <c r="B23" s="279"/>
      <c r="C23" s="32"/>
      <c r="D23" s="33"/>
      <c r="E23" s="33"/>
      <c r="F23" s="485"/>
    </row>
    <row r="24" spans="2:13" s="282" customFormat="1" x14ac:dyDescent="0.2">
      <c r="B24" s="131" t="s">
        <v>258</v>
      </c>
      <c r="C24" s="146"/>
      <c r="D24" s="147"/>
      <c r="E24" s="281">
        <f>E25+E26</f>
        <v>7800</v>
      </c>
      <c r="F24" s="484">
        <f>F25+E26</f>
        <v>39000</v>
      </c>
      <c r="H24" s="567"/>
    </row>
    <row r="25" spans="2:13" s="282" customFormat="1" x14ac:dyDescent="0.2">
      <c r="B25" s="130" t="s">
        <v>259</v>
      </c>
      <c r="C25" s="146" t="s">
        <v>252</v>
      </c>
      <c r="D25" s="147">
        <v>3</v>
      </c>
      <c r="E25" s="63">
        <f>2600*D25</f>
        <v>7800</v>
      </c>
      <c r="F25" s="485">
        <f>E25*5</f>
        <v>39000</v>
      </c>
      <c r="H25" s="567" t="s">
        <v>363</v>
      </c>
    </row>
    <row r="26" spans="2:13" x14ac:dyDescent="0.2">
      <c r="B26" s="130" t="s">
        <v>260</v>
      </c>
      <c r="C26" s="32"/>
      <c r="D26" s="33"/>
      <c r="E26" s="33">
        <v>0</v>
      </c>
      <c r="F26" s="485">
        <v>0</v>
      </c>
    </row>
    <row r="27" spans="2:13" ht="6" customHeight="1" x14ac:dyDescent="0.2">
      <c r="B27" s="130"/>
      <c r="C27" s="32"/>
      <c r="D27" s="33"/>
      <c r="E27" s="33"/>
      <c r="F27" s="485"/>
    </row>
    <row r="28" spans="2:13" x14ac:dyDescent="0.2">
      <c r="B28" s="131" t="s">
        <v>345</v>
      </c>
      <c r="C28" s="32"/>
      <c r="D28" s="33"/>
      <c r="E28" s="281">
        <f>SUM(E29:E33)</f>
        <v>9960</v>
      </c>
      <c r="F28" s="484">
        <f>SUM(F29:F33)</f>
        <v>49800</v>
      </c>
    </row>
    <row r="29" spans="2:13" x14ac:dyDescent="0.2">
      <c r="B29" s="130" t="s">
        <v>335</v>
      </c>
      <c r="C29" s="32" t="s">
        <v>46</v>
      </c>
      <c r="D29" s="33">
        <v>12</v>
      </c>
      <c r="E29" s="63">
        <f>'IDP Office '!F7</f>
        <v>5400</v>
      </c>
      <c r="F29" s="485">
        <f>E29*5</f>
        <v>27000</v>
      </c>
      <c r="H29" s="560" t="s">
        <v>363</v>
      </c>
      <c r="J29" s="561">
        <f t="shared" ref="J29:J33" si="4">E29</f>
        <v>5400</v>
      </c>
    </row>
    <row r="30" spans="2:13" x14ac:dyDescent="0.2">
      <c r="B30" s="130" t="s">
        <v>126</v>
      </c>
      <c r="C30" s="32" t="s">
        <v>46</v>
      </c>
      <c r="D30" s="33">
        <v>12</v>
      </c>
      <c r="E30" s="63">
        <f>'IDP Office '!F12</f>
        <v>3600</v>
      </c>
      <c r="F30" s="485">
        <f>E30*5</f>
        <v>18000</v>
      </c>
      <c r="H30" s="560" t="s">
        <v>363</v>
      </c>
      <c r="J30" s="561">
        <f t="shared" si="4"/>
        <v>3600</v>
      </c>
    </row>
    <row r="31" spans="2:13" x14ac:dyDescent="0.2">
      <c r="B31" s="130" t="s">
        <v>336</v>
      </c>
      <c r="C31" s="32" t="s">
        <v>46</v>
      </c>
      <c r="D31" s="33">
        <v>12</v>
      </c>
      <c r="E31" s="63">
        <f>'IDP Office '!F9</f>
        <v>180</v>
      </c>
      <c r="F31" s="485">
        <f t="shared" ref="F31:F42" si="5">E31*5</f>
        <v>900</v>
      </c>
      <c r="H31" s="560" t="s">
        <v>363</v>
      </c>
      <c r="J31" s="561">
        <f t="shared" si="4"/>
        <v>180</v>
      </c>
    </row>
    <row r="32" spans="2:13" x14ac:dyDescent="0.2">
      <c r="B32" s="130" t="s">
        <v>49</v>
      </c>
      <c r="C32" s="32" t="s">
        <v>46</v>
      </c>
      <c r="D32" s="33">
        <v>12</v>
      </c>
      <c r="E32" s="63">
        <f>'IDP Office '!F10</f>
        <v>360</v>
      </c>
      <c r="F32" s="485">
        <f t="shared" si="5"/>
        <v>1800</v>
      </c>
      <c r="H32" s="560" t="s">
        <v>363</v>
      </c>
      <c r="J32" s="561">
        <f t="shared" si="4"/>
        <v>360</v>
      </c>
    </row>
    <row r="33" spans="2:10" x14ac:dyDescent="0.2">
      <c r="B33" s="130" t="s">
        <v>338</v>
      </c>
      <c r="C33" s="32" t="s">
        <v>46</v>
      </c>
      <c r="D33" s="33">
        <v>12</v>
      </c>
      <c r="E33" s="63">
        <f>'IDP Office '!F19</f>
        <v>420</v>
      </c>
      <c r="F33" s="485">
        <f t="shared" si="5"/>
        <v>2100</v>
      </c>
      <c r="H33" s="560" t="s">
        <v>363</v>
      </c>
      <c r="J33" s="561">
        <f t="shared" si="4"/>
        <v>420</v>
      </c>
    </row>
    <row r="34" spans="2:10" x14ac:dyDescent="0.2">
      <c r="B34" s="130"/>
      <c r="C34" s="32"/>
      <c r="D34" s="33"/>
      <c r="E34" s="63"/>
      <c r="F34" s="485"/>
    </row>
    <row r="35" spans="2:10" x14ac:dyDescent="0.2">
      <c r="B35" s="131" t="s">
        <v>346</v>
      </c>
      <c r="C35" s="32"/>
      <c r="D35" s="33"/>
      <c r="E35" s="281">
        <f>SUM(E36:E42)</f>
        <v>5730</v>
      </c>
      <c r="F35" s="484">
        <f>SUM(F36:F42)</f>
        <v>28650</v>
      </c>
    </row>
    <row r="36" spans="2:10" x14ac:dyDescent="0.2">
      <c r="B36" s="130" t="s">
        <v>344</v>
      </c>
      <c r="C36" s="32" t="s">
        <v>46</v>
      </c>
      <c r="D36" s="33">
        <v>12</v>
      </c>
      <c r="E36" s="63">
        <f>'IDP Office '!F18</f>
        <v>480</v>
      </c>
      <c r="F36" s="485">
        <f t="shared" si="5"/>
        <v>2400</v>
      </c>
      <c r="H36" s="560" t="s">
        <v>363</v>
      </c>
      <c r="J36" s="561">
        <f>E36</f>
        <v>480</v>
      </c>
    </row>
    <row r="37" spans="2:10" x14ac:dyDescent="0.2">
      <c r="B37" s="130" t="s">
        <v>10</v>
      </c>
      <c r="C37" s="32" t="s">
        <v>46</v>
      </c>
      <c r="D37" s="33">
        <v>12</v>
      </c>
      <c r="E37" s="63">
        <f>'IDP Office '!F14</f>
        <v>1000</v>
      </c>
      <c r="F37" s="485">
        <f t="shared" si="5"/>
        <v>5000</v>
      </c>
      <c r="J37" s="561">
        <f>E37</f>
        <v>1000</v>
      </c>
    </row>
    <row r="38" spans="2:10" x14ac:dyDescent="0.2">
      <c r="B38" s="130" t="s">
        <v>12</v>
      </c>
      <c r="C38" s="32" t="s">
        <v>46</v>
      </c>
      <c r="D38" s="33">
        <v>12</v>
      </c>
      <c r="E38" s="63">
        <f>'IDP Office '!F20</f>
        <v>3000</v>
      </c>
      <c r="F38" s="485">
        <f t="shared" si="5"/>
        <v>15000</v>
      </c>
      <c r="J38" s="561">
        <f>E38</f>
        <v>3000</v>
      </c>
    </row>
    <row r="39" spans="2:10" x14ac:dyDescent="0.2">
      <c r="B39" s="130" t="s">
        <v>386</v>
      </c>
      <c r="C39" s="32" t="s">
        <v>46</v>
      </c>
      <c r="D39" s="33">
        <v>12</v>
      </c>
      <c r="E39" s="63">
        <f>'IDP Office '!F22</f>
        <v>300</v>
      </c>
      <c r="F39" s="485">
        <f t="shared" si="5"/>
        <v>1500</v>
      </c>
      <c r="J39" s="561">
        <f>E39</f>
        <v>300</v>
      </c>
    </row>
    <row r="40" spans="2:10" x14ac:dyDescent="0.2">
      <c r="B40" s="130" t="s">
        <v>14</v>
      </c>
      <c r="C40" s="32" t="s">
        <v>46</v>
      </c>
      <c r="D40" s="33">
        <v>12</v>
      </c>
      <c r="E40" s="63">
        <f>'IDP Office '!F24</f>
        <v>200</v>
      </c>
      <c r="F40" s="485">
        <f t="shared" si="5"/>
        <v>1000</v>
      </c>
      <c r="H40" s="560" t="s">
        <v>363</v>
      </c>
      <c r="J40" s="561">
        <f>E40</f>
        <v>200</v>
      </c>
    </row>
    <row r="41" spans="2:10" x14ac:dyDescent="0.2">
      <c r="B41" s="130" t="s">
        <v>15</v>
      </c>
      <c r="C41" s="32" t="s">
        <v>46</v>
      </c>
      <c r="D41" s="33">
        <v>12</v>
      </c>
      <c r="E41" s="63">
        <f>'IDP Office '!F29</f>
        <v>250</v>
      </c>
      <c r="F41" s="485">
        <f t="shared" si="5"/>
        <v>1250</v>
      </c>
      <c r="H41" s="560" t="s">
        <v>363</v>
      </c>
      <c r="J41" s="561">
        <f t="shared" ref="J41:J42" si="6">E41</f>
        <v>250</v>
      </c>
    </row>
    <row r="42" spans="2:10" x14ac:dyDescent="0.2">
      <c r="B42" s="130" t="s">
        <v>53</v>
      </c>
      <c r="C42" s="32" t="s">
        <v>46</v>
      </c>
      <c r="D42" s="33">
        <v>12</v>
      </c>
      <c r="E42" s="63">
        <f>'IDP Office '!F31</f>
        <v>500</v>
      </c>
      <c r="F42" s="485">
        <f t="shared" si="5"/>
        <v>2500</v>
      </c>
      <c r="H42" s="560" t="s">
        <v>363</v>
      </c>
      <c r="J42" s="561">
        <f t="shared" si="6"/>
        <v>500</v>
      </c>
    </row>
    <row r="43" spans="2:10" ht="5.25" customHeight="1" x14ac:dyDescent="0.2">
      <c r="B43" s="130"/>
      <c r="C43" s="32"/>
      <c r="D43" s="33"/>
      <c r="E43" s="33"/>
      <c r="F43" s="485"/>
    </row>
    <row r="44" spans="2:10" x14ac:dyDescent="0.2">
      <c r="B44" s="488" t="s">
        <v>322</v>
      </c>
      <c r="C44" s="491"/>
      <c r="D44" s="492"/>
      <c r="E44" s="493">
        <f>SUM(E45:E53)</f>
        <v>11250</v>
      </c>
      <c r="F44" s="494">
        <f>SUM(F45:F53)</f>
        <v>56250</v>
      </c>
    </row>
    <row r="45" spans="2:10" x14ac:dyDescent="0.2">
      <c r="B45" s="489" t="s">
        <v>45</v>
      </c>
      <c r="C45" s="491" t="s">
        <v>46</v>
      </c>
      <c r="D45" s="492">
        <v>12</v>
      </c>
      <c r="E45" s="496">
        <f>'IDP Office '!G40</f>
        <v>5400</v>
      </c>
      <c r="F45" s="497">
        <f>E45*5</f>
        <v>27000</v>
      </c>
      <c r="H45" s="560" t="s">
        <v>363</v>
      </c>
      <c r="I45" s="561"/>
      <c r="J45" s="561">
        <f>E45</f>
        <v>5400</v>
      </c>
    </row>
    <row r="46" spans="2:10" x14ac:dyDescent="0.2">
      <c r="B46" s="489" t="s">
        <v>126</v>
      </c>
      <c r="C46" s="491" t="s">
        <v>46</v>
      </c>
      <c r="D46" s="492">
        <v>12</v>
      </c>
      <c r="E46" s="496">
        <f>'IDP Office '!G42</f>
        <v>1800</v>
      </c>
      <c r="F46" s="497">
        <f t="shared" ref="F46:F53" si="7">E46*5</f>
        <v>9000</v>
      </c>
      <c r="H46" s="560" t="s">
        <v>363</v>
      </c>
      <c r="J46" s="561">
        <f t="shared" ref="J46:J53" si="8">E46</f>
        <v>1800</v>
      </c>
    </row>
    <row r="47" spans="2:10" x14ac:dyDescent="0.2">
      <c r="B47" s="489" t="s">
        <v>47</v>
      </c>
      <c r="C47" s="491" t="s">
        <v>46</v>
      </c>
      <c r="D47" s="492">
        <v>12</v>
      </c>
      <c r="E47" s="496">
        <f>'IDP Office '!G44</f>
        <v>70</v>
      </c>
      <c r="F47" s="497">
        <f t="shared" si="7"/>
        <v>350</v>
      </c>
      <c r="H47" s="560" t="s">
        <v>363</v>
      </c>
      <c r="J47" s="561">
        <f t="shared" si="8"/>
        <v>70</v>
      </c>
    </row>
    <row r="48" spans="2:10" x14ac:dyDescent="0.2">
      <c r="B48" s="489" t="s">
        <v>50</v>
      </c>
      <c r="C48" s="491" t="s">
        <v>46</v>
      </c>
      <c r="D48" s="492">
        <v>12</v>
      </c>
      <c r="E48" s="496">
        <f>'IDP Office '!G48</f>
        <v>96</v>
      </c>
      <c r="F48" s="497">
        <f t="shared" si="7"/>
        <v>480</v>
      </c>
      <c r="H48" s="560" t="s">
        <v>363</v>
      </c>
      <c r="J48" s="561">
        <f t="shared" si="8"/>
        <v>96</v>
      </c>
    </row>
    <row r="49" spans="2:12" x14ac:dyDescent="0.2">
      <c r="B49" s="489" t="s">
        <v>48</v>
      </c>
      <c r="C49" s="491" t="s">
        <v>46</v>
      </c>
      <c r="D49" s="492">
        <v>12</v>
      </c>
      <c r="E49" s="496">
        <f>'IDP Office '!G49</f>
        <v>84</v>
      </c>
      <c r="F49" s="497">
        <f t="shared" si="7"/>
        <v>420</v>
      </c>
      <c r="H49" s="560" t="s">
        <v>363</v>
      </c>
      <c r="J49" s="561">
        <f t="shared" si="8"/>
        <v>84</v>
      </c>
    </row>
    <row r="50" spans="2:12" x14ac:dyDescent="0.2">
      <c r="B50" s="489" t="s">
        <v>49</v>
      </c>
      <c r="C50" s="491" t="s">
        <v>46</v>
      </c>
      <c r="D50" s="492">
        <v>12</v>
      </c>
      <c r="E50" s="496">
        <f>'IDP Office '!G47</f>
        <v>180</v>
      </c>
      <c r="F50" s="497">
        <f t="shared" si="7"/>
        <v>900</v>
      </c>
      <c r="H50" s="560" t="s">
        <v>363</v>
      </c>
      <c r="J50" s="561">
        <f t="shared" si="8"/>
        <v>180</v>
      </c>
    </row>
    <row r="51" spans="2:12" x14ac:dyDescent="0.2">
      <c r="B51" s="489" t="s">
        <v>51</v>
      </c>
      <c r="C51" s="491" t="s">
        <v>46</v>
      </c>
      <c r="D51" s="492">
        <v>12</v>
      </c>
      <c r="E51" s="496">
        <f>'IDP Office '!G51</f>
        <v>420</v>
      </c>
      <c r="F51" s="497">
        <f t="shared" si="7"/>
        <v>2100</v>
      </c>
      <c r="H51" s="560" t="s">
        <v>363</v>
      </c>
      <c r="J51" s="561">
        <f t="shared" si="8"/>
        <v>420</v>
      </c>
    </row>
    <row r="52" spans="2:12" x14ac:dyDescent="0.2">
      <c r="B52" s="489" t="s">
        <v>52</v>
      </c>
      <c r="C52" s="491" t="s">
        <v>46</v>
      </c>
      <c r="D52" s="492">
        <v>12</v>
      </c>
      <c r="E52" s="496">
        <f>'IDP Office '!G52</f>
        <v>2000</v>
      </c>
      <c r="F52" s="497">
        <f t="shared" si="7"/>
        <v>10000</v>
      </c>
      <c r="H52" s="560" t="s">
        <v>363</v>
      </c>
      <c r="J52" s="561">
        <f t="shared" si="8"/>
        <v>2000</v>
      </c>
    </row>
    <row r="53" spans="2:12" x14ac:dyDescent="0.2">
      <c r="B53" s="489" t="s">
        <v>11</v>
      </c>
      <c r="C53" s="491" t="s">
        <v>46</v>
      </c>
      <c r="D53" s="492">
        <v>12</v>
      </c>
      <c r="E53" s="496">
        <f>'IDP Office '!G54</f>
        <v>1200</v>
      </c>
      <c r="F53" s="497">
        <f t="shared" si="7"/>
        <v>6000</v>
      </c>
      <c r="H53" s="560" t="s">
        <v>363</v>
      </c>
      <c r="J53" s="561">
        <f t="shared" si="8"/>
        <v>1200</v>
      </c>
    </row>
    <row r="54" spans="2:12" ht="6" customHeight="1" x14ac:dyDescent="0.2">
      <c r="B54" s="279"/>
      <c r="C54" s="32"/>
      <c r="D54" s="33"/>
      <c r="E54" s="33"/>
      <c r="F54" s="485"/>
    </row>
    <row r="55" spans="2:12" s="285" customFormat="1" x14ac:dyDescent="0.2">
      <c r="B55" s="280" t="s">
        <v>319</v>
      </c>
      <c r="C55" s="283"/>
      <c r="D55" s="284"/>
      <c r="E55" s="281">
        <f>E56+E57</f>
        <v>14844</v>
      </c>
      <c r="F55" s="484">
        <f>F56+F57</f>
        <v>74220</v>
      </c>
      <c r="H55" s="562"/>
    </row>
    <row r="56" spans="2:12" x14ac:dyDescent="0.2">
      <c r="B56" s="130" t="s">
        <v>320</v>
      </c>
      <c r="C56" s="32" t="s">
        <v>93</v>
      </c>
      <c r="D56" s="33">
        <v>1</v>
      </c>
      <c r="E56" s="63">
        <f>'IDP Vehicles'!H8</f>
        <v>8427</v>
      </c>
      <c r="F56" s="485">
        <f>E56*5</f>
        <v>42135</v>
      </c>
      <c r="H56" s="560" t="s">
        <v>363</v>
      </c>
      <c r="L56" s="561">
        <f>E56</f>
        <v>8427</v>
      </c>
    </row>
    <row r="57" spans="2:12" x14ac:dyDescent="0.2">
      <c r="B57" s="130" t="s">
        <v>321</v>
      </c>
      <c r="C57" s="32" t="s">
        <v>93</v>
      </c>
      <c r="D57" s="33">
        <v>1</v>
      </c>
      <c r="E57" s="63">
        <f>'IDP Vehicles'!H23</f>
        <v>6417</v>
      </c>
      <c r="F57" s="485">
        <f>E57*5</f>
        <v>32085</v>
      </c>
      <c r="H57" s="560" t="s">
        <v>363</v>
      </c>
      <c r="L57" s="561">
        <f>E57</f>
        <v>6417</v>
      </c>
    </row>
    <row r="58" spans="2:12" ht="5.25" customHeight="1" x14ac:dyDescent="0.2">
      <c r="B58" s="128"/>
      <c r="C58" s="32"/>
      <c r="D58" s="33"/>
      <c r="E58" s="33"/>
      <c r="F58" s="485"/>
    </row>
    <row r="59" spans="2:12" x14ac:dyDescent="0.2">
      <c r="B59" s="488" t="s">
        <v>340</v>
      </c>
      <c r="C59" s="491"/>
      <c r="D59" s="492"/>
      <c r="E59" s="493">
        <f>SUM(E60:E61)</f>
        <v>300</v>
      </c>
      <c r="F59" s="494">
        <f>SUM(F60:F61)</f>
        <v>1500</v>
      </c>
    </row>
    <row r="60" spans="2:12" x14ac:dyDescent="0.2">
      <c r="B60" s="490" t="s">
        <v>127</v>
      </c>
      <c r="C60" s="491" t="s">
        <v>46</v>
      </c>
      <c r="D60" s="492">
        <v>12</v>
      </c>
      <c r="E60" s="496">
        <f>'IDP Vehicles'!I46</f>
        <v>180</v>
      </c>
      <c r="F60" s="497">
        <f>E60*5</f>
        <v>900</v>
      </c>
      <c r="H60" s="560" t="s">
        <v>363</v>
      </c>
      <c r="L60" s="561">
        <f>E60</f>
        <v>180</v>
      </c>
    </row>
    <row r="61" spans="2:12" x14ac:dyDescent="0.2">
      <c r="B61" s="490" t="s">
        <v>128</v>
      </c>
      <c r="C61" s="491" t="s">
        <v>46</v>
      </c>
      <c r="D61" s="492">
        <v>12</v>
      </c>
      <c r="E61" s="496">
        <f>'IDP Vehicles'!I47</f>
        <v>120</v>
      </c>
      <c r="F61" s="497">
        <f>E61*5</f>
        <v>600</v>
      </c>
      <c r="H61" s="560" t="s">
        <v>363</v>
      </c>
      <c r="L61" s="561">
        <f>E61</f>
        <v>120</v>
      </c>
    </row>
    <row r="62" spans="2:12" ht="6" customHeight="1" x14ac:dyDescent="0.2">
      <c r="B62" s="132"/>
      <c r="C62" s="32"/>
      <c r="D62" s="33"/>
      <c r="E62" s="33"/>
      <c r="F62" s="485"/>
    </row>
    <row r="63" spans="2:12" x14ac:dyDescent="0.2">
      <c r="B63" s="280" t="s">
        <v>54</v>
      </c>
      <c r="C63" s="32"/>
      <c r="D63" s="33"/>
      <c r="E63" s="286">
        <f>SUM(E64:E71)</f>
        <v>87585</v>
      </c>
      <c r="F63" s="486">
        <f>SUM(F64:F71)</f>
        <v>87585</v>
      </c>
    </row>
    <row r="64" spans="2:12" x14ac:dyDescent="0.2">
      <c r="B64" s="130" t="s">
        <v>191</v>
      </c>
      <c r="C64" s="32" t="s">
        <v>55</v>
      </c>
      <c r="D64" s="33">
        <v>1</v>
      </c>
      <c r="E64" s="63">
        <f>'IDP Invest'!F6</f>
        <v>45000</v>
      </c>
      <c r="F64" s="485">
        <f>E64</f>
        <v>45000</v>
      </c>
      <c r="H64" s="560" t="s">
        <v>363</v>
      </c>
      <c r="I64" s="561">
        <f>E64</f>
        <v>45000</v>
      </c>
    </row>
    <row r="65" spans="2:9" x14ac:dyDescent="0.2">
      <c r="B65" s="130" t="s">
        <v>192</v>
      </c>
      <c r="C65" s="146" t="s">
        <v>55</v>
      </c>
      <c r="D65" s="147">
        <v>1</v>
      </c>
      <c r="E65" s="148">
        <f>'IDP Invest'!F7</f>
        <v>25000</v>
      </c>
      <c r="F65" s="485">
        <f t="shared" ref="F65:F71" si="9">E65</f>
        <v>25000</v>
      </c>
      <c r="H65" s="560" t="s">
        <v>363</v>
      </c>
      <c r="I65" s="561">
        <f>E65</f>
        <v>25000</v>
      </c>
    </row>
    <row r="66" spans="2:9" x14ac:dyDescent="0.2">
      <c r="B66" s="130" t="s">
        <v>17</v>
      </c>
      <c r="C66" s="32"/>
      <c r="D66" s="33"/>
      <c r="E66" s="33"/>
      <c r="F66" s="485">
        <f t="shared" si="9"/>
        <v>0</v>
      </c>
      <c r="I66" s="561">
        <f t="shared" ref="I66:I71" si="10">E66</f>
        <v>0</v>
      </c>
    </row>
    <row r="67" spans="2:9" x14ac:dyDescent="0.2">
      <c r="B67" s="128" t="s">
        <v>18</v>
      </c>
      <c r="C67" s="32" t="s">
        <v>44</v>
      </c>
      <c r="D67" s="33">
        <v>1</v>
      </c>
      <c r="E67" s="63">
        <f>'IDP Invest'!F10</f>
        <v>3500</v>
      </c>
      <c r="F67" s="485">
        <f t="shared" si="9"/>
        <v>3500</v>
      </c>
      <c r="H67" s="560" t="s">
        <v>363</v>
      </c>
      <c r="I67" s="561">
        <f t="shared" si="10"/>
        <v>3500</v>
      </c>
    </row>
    <row r="68" spans="2:9" x14ac:dyDescent="0.2">
      <c r="B68" s="130" t="s">
        <v>19</v>
      </c>
      <c r="C68" s="32"/>
      <c r="D68" s="33"/>
      <c r="E68" s="63">
        <f>'IDP Invest'!F19</f>
        <v>975</v>
      </c>
      <c r="F68" s="485">
        <f t="shared" si="9"/>
        <v>975</v>
      </c>
      <c r="H68" s="560" t="s">
        <v>363</v>
      </c>
      <c r="I68" s="561">
        <f t="shared" si="10"/>
        <v>975</v>
      </c>
    </row>
    <row r="69" spans="2:9" x14ac:dyDescent="0.2">
      <c r="B69" s="128" t="s">
        <v>20</v>
      </c>
      <c r="C69" s="32"/>
      <c r="D69" s="33"/>
      <c r="E69" s="63">
        <f>'IDP Invest'!F22</f>
        <v>500</v>
      </c>
      <c r="F69" s="485">
        <f t="shared" si="9"/>
        <v>500</v>
      </c>
      <c r="H69" s="560" t="s">
        <v>363</v>
      </c>
      <c r="I69" s="561">
        <f t="shared" si="10"/>
        <v>500</v>
      </c>
    </row>
    <row r="70" spans="2:9" x14ac:dyDescent="0.2">
      <c r="B70" s="128" t="s">
        <v>64</v>
      </c>
      <c r="C70" s="32"/>
      <c r="D70" s="33"/>
      <c r="E70" s="63">
        <f>'IDP Invest'!F34</f>
        <v>7800</v>
      </c>
      <c r="F70" s="485">
        <f t="shared" si="9"/>
        <v>7800</v>
      </c>
      <c r="H70" s="560" t="s">
        <v>363</v>
      </c>
      <c r="I70" s="561">
        <f t="shared" si="10"/>
        <v>7800</v>
      </c>
    </row>
    <row r="71" spans="2:9" x14ac:dyDescent="0.2">
      <c r="B71" s="130" t="s">
        <v>21</v>
      </c>
      <c r="C71" s="146"/>
      <c r="D71" s="147"/>
      <c r="E71" s="148">
        <f>'IDP Invest'!F24</f>
        <v>4810</v>
      </c>
      <c r="F71" s="485">
        <f t="shared" si="9"/>
        <v>4810</v>
      </c>
      <c r="G71" s="282"/>
      <c r="H71" s="567"/>
      <c r="I71" s="566">
        <f t="shared" si="10"/>
        <v>4810</v>
      </c>
    </row>
    <row r="72" spans="2:9" ht="6" customHeight="1" x14ac:dyDescent="0.2">
      <c r="B72" s="128"/>
      <c r="C72" s="32"/>
      <c r="D72" s="33"/>
      <c r="E72" s="33"/>
      <c r="F72" s="485"/>
    </row>
    <row r="73" spans="2:9" x14ac:dyDescent="0.2">
      <c r="B73" s="488" t="s">
        <v>351</v>
      </c>
      <c r="C73" s="491"/>
      <c r="D73" s="492"/>
      <c r="E73" s="493">
        <f>SUM(E74:E75)</f>
        <v>3125</v>
      </c>
      <c r="F73" s="494">
        <f>SUM(F74:F75)</f>
        <v>3125</v>
      </c>
    </row>
    <row r="74" spans="2:9" x14ac:dyDescent="0.2">
      <c r="B74" s="495" t="s">
        <v>81</v>
      </c>
      <c r="C74" s="491"/>
      <c r="D74" s="492"/>
      <c r="E74" s="496">
        <f>'IDP Invest'!G43</f>
        <v>1400</v>
      </c>
      <c r="F74" s="497">
        <f>E74</f>
        <v>1400</v>
      </c>
      <c r="H74" s="560" t="s">
        <v>363</v>
      </c>
      <c r="I74" s="561">
        <f>E74</f>
        <v>1400</v>
      </c>
    </row>
    <row r="75" spans="2:9" x14ac:dyDescent="0.2">
      <c r="B75" s="495" t="s">
        <v>82</v>
      </c>
      <c r="C75" s="491"/>
      <c r="D75" s="492"/>
      <c r="E75" s="496">
        <f>'IDP Invest'!G46</f>
        <v>1725</v>
      </c>
      <c r="F75" s="497">
        <f>E75</f>
        <v>1725</v>
      </c>
      <c r="H75" s="560" t="s">
        <v>363</v>
      </c>
      <c r="I75" s="561">
        <f>E75</f>
        <v>1725</v>
      </c>
    </row>
    <row r="76" spans="2:9" ht="6" customHeight="1" x14ac:dyDescent="0.2">
      <c r="B76" s="128"/>
      <c r="C76" s="32"/>
      <c r="D76" s="33"/>
      <c r="E76" s="33"/>
      <c r="F76" s="485"/>
    </row>
    <row r="77" spans="2:9" ht="6" customHeight="1" thickBot="1" x14ac:dyDescent="0.25">
      <c r="B77" s="287"/>
      <c r="C77" s="59"/>
      <c r="D77" s="60"/>
      <c r="E77" s="60"/>
      <c r="F77" s="487"/>
    </row>
  </sheetData>
  <mergeCells count="1">
    <mergeCell ref="I2:M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H60"/>
  <sheetViews>
    <sheetView workbookViewId="0"/>
  </sheetViews>
  <sheetFormatPr defaultColWidth="11.42578125" defaultRowHeight="15" x14ac:dyDescent="0.25"/>
  <cols>
    <col min="1" max="1" width="1.85546875" customWidth="1"/>
    <col min="2" max="2" width="53.5703125" customWidth="1"/>
    <col min="3" max="8" width="13" customWidth="1"/>
  </cols>
  <sheetData>
    <row r="1" spans="2:8" ht="15.75" thickBot="1" x14ac:dyDescent="0.3"/>
    <row r="2" spans="2:8" ht="23.25" x14ac:dyDescent="0.35">
      <c r="B2" s="662" t="s">
        <v>355</v>
      </c>
      <c r="C2" s="663"/>
      <c r="D2" s="663"/>
      <c r="E2" s="663"/>
      <c r="F2" s="663"/>
      <c r="G2" s="663"/>
      <c r="H2" s="664"/>
    </row>
    <row r="3" spans="2:8" ht="4.5" customHeight="1" x14ac:dyDescent="0.25">
      <c r="B3" s="535"/>
      <c r="C3" s="35"/>
      <c r="D3" s="35"/>
      <c r="E3" s="35"/>
      <c r="F3" s="35"/>
      <c r="G3" s="36"/>
      <c r="H3" s="536"/>
    </row>
    <row r="4" spans="2:8" x14ac:dyDescent="0.25">
      <c r="B4" s="537"/>
      <c r="C4" s="533" t="s">
        <v>22</v>
      </c>
      <c r="D4" s="65" t="s">
        <v>23</v>
      </c>
      <c r="E4" s="66" t="s">
        <v>56</v>
      </c>
      <c r="F4" s="37" t="s">
        <v>262</v>
      </c>
      <c r="G4" s="682" t="s">
        <v>358</v>
      </c>
      <c r="H4" s="683"/>
    </row>
    <row r="5" spans="2:8" s="108" customFormat="1" x14ac:dyDescent="0.25">
      <c r="B5" s="659" t="s">
        <v>16</v>
      </c>
      <c r="C5" s="660"/>
      <c r="D5" s="660"/>
      <c r="E5" s="661"/>
      <c r="F5" s="107">
        <f>SUM(F6:F7)</f>
        <v>70000</v>
      </c>
      <c r="G5" s="680"/>
      <c r="H5" s="681"/>
    </row>
    <row r="6" spans="2:8" x14ac:dyDescent="0.25">
      <c r="B6" s="503" t="s">
        <v>323</v>
      </c>
      <c r="C6" s="42" t="s">
        <v>55</v>
      </c>
      <c r="D6" s="43">
        <v>1</v>
      </c>
      <c r="E6" s="44">
        <v>45000</v>
      </c>
      <c r="F6" s="27">
        <f>D6*E6</f>
        <v>45000</v>
      </c>
      <c r="G6" s="684" t="s">
        <v>356</v>
      </c>
      <c r="H6" s="685"/>
    </row>
    <row r="7" spans="2:8" x14ac:dyDescent="0.25">
      <c r="B7" s="500" t="s">
        <v>324</v>
      </c>
      <c r="C7" s="42" t="s">
        <v>55</v>
      </c>
      <c r="D7" s="46">
        <v>1</v>
      </c>
      <c r="E7" s="47">
        <v>25000</v>
      </c>
      <c r="F7" s="27">
        <f>D7*E7</f>
        <v>25000</v>
      </c>
      <c r="G7" s="684" t="s">
        <v>357</v>
      </c>
      <c r="H7" s="685"/>
    </row>
    <row r="8" spans="2:8" s="108" customFormat="1" x14ac:dyDescent="0.25">
      <c r="B8" s="659" t="s">
        <v>17</v>
      </c>
      <c r="C8" s="660"/>
      <c r="D8" s="660"/>
      <c r="E8" s="661"/>
      <c r="F8" s="107">
        <v>0</v>
      </c>
      <c r="G8" s="680"/>
      <c r="H8" s="681"/>
    </row>
    <row r="9" spans="2:8" x14ac:dyDescent="0.25">
      <c r="B9" s="538" t="s">
        <v>359</v>
      </c>
      <c r="C9" s="49"/>
      <c r="D9" s="50"/>
      <c r="E9" s="51"/>
      <c r="F9" s="52"/>
      <c r="G9" s="678"/>
      <c r="H9" s="679"/>
    </row>
    <row r="10" spans="2:8" s="108" customFormat="1" x14ac:dyDescent="0.25">
      <c r="B10" s="659" t="s">
        <v>18</v>
      </c>
      <c r="C10" s="660"/>
      <c r="D10" s="660"/>
      <c r="E10" s="661"/>
      <c r="F10" s="107">
        <f>SUM(F11:F18)</f>
        <v>3500</v>
      </c>
      <c r="G10" s="680"/>
      <c r="H10" s="681"/>
    </row>
    <row r="11" spans="2:8" x14ac:dyDescent="0.25">
      <c r="B11" s="539" t="s">
        <v>58</v>
      </c>
      <c r="C11" s="49" t="s">
        <v>59</v>
      </c>
      <c r="D11" s="50">
        <v>2</v>
      </c>
      <c r="E11" s="47">
        <v>450</v>
      </c>
      <c r="F11" s="48">
        <f>D11*E11</f>
        <v>900</v>
      </c>
      <c r="G11" s="678"/>
      <c r="H11" s="679"/>
    </row>
    <row r="12" spans="2:8" x14ac:dyDescent="0.25">
      <c r="B12" s="500" t="s">
        <v>65</v>
      </c>
      <c r="C12" s="49" t="s">
        <v>59</v>
      </c>
      <c r="D12" s="46">
        <v>1</v>
      </c>
      <c r="E12" s="47">
        <v>500</v>
      </c>
      <c r="F12" s="48">
        <f t="shared" ref="F12:F18" si="0">D12*E12</f>
        <v>500</v>
      </c>
      <c r="G12" s="678"/>
      <c r="H12" s="679"/>
    </row>
    <row r="13" spans="2:8" x14ac:dyDescent="0.25">
      <c r="B13" s="539" t="s">
        <v>66</v>
      </c>
      <c r="C13" s="49" t="s">
        <v>130</v>
      </c>
      <c r="D13" s="50">
        <v>1</v>
      </c>
      <c r="E13" s="47">
        <v>950</v>
      </c>
      <c r="F13" s="48">
        <f t="shared" si="0"/>
        <v>950</v>
      </c>
      <c r="G13" s="686"/>
      <c r="H13" s="687"/>
    </row>
    <row r="14" spans="2:8" x14ac:dyDescent="0.25">
      <c r="B14" s="539" t="s">
        <v>67</v>
      </c>
      <c r="C14" s="49" t="s">
        <v>131</v>
      </c>
      <c r="D14" s="50">
        <v>1</v>
      </c>
      <c r="E14" s="47">
        <v>150</v>
      </c>
      <c r="F14" s="48">
        <f t="shared" si="0"/>
        <v>150</v>
      </c>
      <c r="G14" s="686"/>
      <c r="H14" s="687"/>
    </row>
    <row r="15" spans="2:8" x14ac:dyDescent="0.25">
      <c r="B15" s="539" t="s">
        <v>68</v>
      </c>
      <c r="C15" s="49" t="s">
        <v>132</v>
      </c>
      <c r="D15" s="50">
        <v>1</v>
      </c>
      <c r="E15" s="47">
        <v>400</v>
      </c>
      <c r="F15" s="48">
        <f t="shared" si="0"/>
        <v>400</v>
      </c>
      <c r="G15" s="686"/>
      <c r="H15" s="687"/>
    </row>
    <row r="16" spans="2:8" x14ac:dyDescent="0.25">
      <c r="B16" s="539" t="s">
        <v>69</v>
      </c>
      <c r="C16" s="49" t="s">
        <v>69</v>
      </c>
      <c r="D16" s="50">
        <v>1</v>
      </c>
      <c r="E16" s="47">
        <v>250</v>
      </c>
      <c r="F16" s="48">
        <f t="shared" si="0"/>
        <v>250</v>
      </c>
      <c r="G16" s="686"/>
      <c r="H16" s="687"/>
    </row>
    <row r="17" spans="2:8" x14ac:dyDescent="0.25">
      <c r="B17" s="539" t="s">
        <v>71</v>
      </c>
      <c r="C17" s="49" t="s">
        <v>71</v>
      </c>
      <c r="D17" s="50">
        <v>1</v>
      </c>
      <c r="E17" s="47">
        <v>50</v>
      </c>
      <c r="F17" s="52">
        <f t="shared" ref="F17" si="1">D17*E17</f>
        <v>50</v>
      </c>
      <c r="G17" s="686"/>
      <c r="H17" s="687"/>
    </row>
    <row r="18" spans="2:8" x14ac:dyDescent="0.25">
      <c r="B18" s="539" t="s">
        <v>146</v>
      </c>
      <c r="C18" s="49" t="s">
        <v>147</v>
      </c>
      <c r="D18" s="50">
        <v>1</v>
      </c>
      <c r="E18" s="47">
        <v>300</v>
      </c>
      <c r="F18" s="52">
        <f t="shared" si="0"/>
        <v>300</v>
      </c>
      <c r="G18" s="678"/>
      <c r="H18" s="679"/>
    </row>
    <row r="19" spans="2:8" s="108" customFormat="1" x14ac:dyDescent="0.25">
      <c r="B19" s="659" t="s">
        <v>19</v>
      </c>
      <c r="C19" s="660"/>
      <c r="D19" s="660"/>
      <c r="E19" s="661"/>
      <c r="F19" s="107">
        <f>SUM(F20:F21)</f>
        <v>975</v>
      </c>
      <c r="G19" s="680"/>
      <c r="H19" s="681"/>
    </row>
    <row r="20" spans="2:8" x14ac:dyDescent="0.25">
      <c r="B20" s="539" t="s">
        <v>60</v>
      </c>
      <c r="C20" s="49" t="s">
        <v>61</v>
      </c>
      <c r="D20" s="50">
        <v>3</v>
      </c>
      <c r="E20" s="51">
        <v>125</v>
      </c>
      <c r="F20" s="52">
        <f>D20*E20</f>
        <v>375</v>
      </c>
      <c r="G20" s="678"/>
      <c r="H20" s="679"/>
    </row>
    <row r="21" spans="2:8" x14ac:dyDescent="0.25">
      <c r="B21" s="539" t="s">
        <v>70</v>
      </c>
      <c r="C21" s="49" t="s">
        <v>70</v>
      </c>
      <c r="D21" s="50">
        <v>3</v>
      </c>
      <c r="E21" s="51">
        <v>200</v>
      </c>
      <c r="F21" s="52">
        <f>D21*E21</f>
        <v>600</v>
      </c>
      <c r="G21" s="678"/>
      <c r="H21" s="679"/>
    </row>
    <row r="22" spans="2:8" s="108" customFormat="1" x14ac:dyDescent="0.25">
      <c r="B22" s="659" t="s">
        <v>20</v>
      </c>
      <c r="C22" s="660"/>
      <c r="D22" s="660"/>
      <c r="E22" s="661"/>
      <c r="F22" s="107">
        <f>SUM(F23:F23)</f>
        <v>500</v>
      </c>
      <c r="G22" s="680"/>
      <c r="H22" s="681"/>
    </row>
    <row r="23" spans="2:8" x14ac:dyDescent="0.25">
      <c r="B23" s="539" t="s">
        <v>148</v>
      </c>
      <c r="C23" s="53" t="s">
        <v>44</v>
      </c>
      <c r="D23" s="50">
        <v>1</v>
      </c>
      <c r="E23" s="51">
        <v>500</v>
      </c>
      <c r="F23" s="52">
        <f>D23*E23</f>
        <v>500</v>
      </c>
      <c r="G23" s="678"/>
      <c r="H23" s="679"/>
    </row>
    <row r="24" spans="2:8" s="108" customFormat="1" x14ac:dyDescent="0.25">
      <c r="B24" s="659" t="s">
        <v>21</v>
      </c>
      <c r="C24" s="660"/>
      <c r="D24" s="660"/>
      <c r="E24" s="661"/>
      <c r="F24" s="107">
        <f>SUM(F25:F33)</f>
        <v>4810</v>
      </c>
      <c r="G24" s="680"/>
      <c r="H24" s="681"/>
    </row>
    <row r="25" spans="2:8" x14ac:dyDescent="0.25">
      <c r="B25" s="500" t="s">
        <v>62</v>
      </c>
      <c r="C25" s="55" t="s">
        <v>63</v>
      </c>
      <c r="D25" s="46">
        <v>3</v>
      </c>
      <c r="E25" s="47">
        <v>80</v>
      </c>
      <c r="F25" s="52">
        <f>D25*E25</f>
        <v>240</v>
      </c>
      <c r="G25" s="676"/>
      <c r="H25" s="677"/>
    </row>
    <row r="26" spans="2:8" x14ac:dyDescent="0.25">
      <c r="B26" s="500" t="s">
        <v>72</v>
      </c>
      <c r="C26" s="55" t="s">
        <v>72</v>
      </c>
      <c r="D26" s="46">
        <v>3</v>
      </c>
      <c r="E26" s="47">
        <v>150</v>
      </c>
      <c r="F26" s="52">
        <f t="shared" ref="F26:F33" si="2">D26*E26</f>
        <v>450</v>
      </c>
      <c r="G26" s="676"/>
      <c r="H26" s="677"/>
    </row>
    <row r="27" spans="2:8" x14ac:dyDescent="0.25">
      <c r="B27" s="500" t="s">
        <v>73</v>
      </c>
      <c r="C27" s="55" t="s">
        <v>73</v>
      </c>
      <c r="D27" s="46">
        <v>3</v>
      </c>
      <c r="E27" s="47">
        <v>200</v>
      </c>
      <c r="F27" s="52">
        <f t="shared" si="2"/>
        <v>600</v>
      </c>
      <c r="G27" s="676"/>
      <c r="H27" s="677"/>
    </row>
    <row r="28" spans="2:8" x14ac:dyDescent="0.25">
      <c r="B28" s="500" t="s">
        <v>74</v>
      </c>
      <c r="C28" s="55" t="s">
        <v>74</v>
      </c>
      <c r="D28" s="46">
        <v>2</v>
      </c>
      <c r="E28" s="47">
        <v>150</v>
      </c>
      <c r="F28" s="52">
        <f t="shared" si="2"/>
        <v>300</v>
      </c>
      <c r="G28" s="676"/>
      <c r="H28" s="677"/>
    </row>
    <row r="29" spans="2:8" x14ac:dyDescent="0.25">
      <c r="B29" s="500" t="s">
        <v>75</v>
      </c>
      <c r="C29" s="55" t="s">
        <v>75</v>
      </c>
      <c r="D29" s="46">
        <v>6</v>
      </c>
      <c r="E29" s="47">
        <v>20</v>
      </c>
      <c r="F29" s="52">
        <f t="shared" si="2"/>
        <v>120</v>
      </c>
      <c r="G29" s="676"/>
      <c r="H29" s="677"/>
    </row>
    <row r="30" spans="2:8" x14ac:dyDescent="0.25">
      <c r="B30" s="500" t="s">
        <v>76</v>
      </c>
      <c r="C30" s="55" t="s">
        <v>76</v>
      </c>
      <c r="D30" s="46">
        <v>1</v>
      </c>
      <c r="E30" s="47">
        <v>900</v>
      </c>
      <c r="F30" s="52">
        <f t="shared" si="2"/>
        <v>900</v>
      </c>
      <c r="G30" s="676"/>
      <c r="H30" s="677"/>
    </row>
    <row r="31" spans="2:8" x14ac:dyDescent="0.25">
      <c r="B31" s="500" t="s">
        <v>77</v>
      </c>
      <c r="C31" s="55" t="s">
        <v>77</v>
      </c>
      <c r="D31" s="46">
        <v>1</v>
      </c>
      <c r="E31" s="47">
        <v>550</v>
      </c>
      <c r="F31" s="52">
        <f t="shared" si="2"/>
        <v>550</v>
      </c>
      <c r="G31" s="676"/>
      <c r="H31" s="677"/>
    </row>
    <row r="32" spans="2:8" x14ac:dyDescent="0.25">
      <c r="B32" s="500" t="s">
        <v>78</v>
      </c>
      <c r="C32" s="55" t="s">
        <v>133</v>
      </c>
      <c r="D32" s="46">
        <v>1</v>
      </c>
      <c r="E32" s="47">
        <v>650</v>
      </c>
      <c r="F32" s="52">
        <f t="shared" si="2"/>
        <v>650</v>
      </c>
      <c r="G32" s="678"/>
      <c r="H32" s="679"/>
    </row>
    <row r="33" spans="2:8" x14ac:dyDescent="0.25">
      <c r="B33" s="500" t="s">
        <v>79</v>
      </c>
      <c r="C33" s="55" t="s">
        <v>44</v>
      </c>
      <c r="D33" s="46">
        <v>1</v>
      </c>
      <c r="E33" s="47">
        <v>1000</v>
      </c>
      <c r="F33" s="52">
        <f t="shared" si="2"/>
        <v>1000</v>
      </c>
      <c r="G33" s="678"/>
      <c r="H33" s="679"/>
    </row>
    <row r="34" spans="2:8" x14ac:dyDescent="0.25">
      <c r="B34" s="659" t="s">
        <v>64</v>
      </c>
      <c r="C34" s="660"/>
      <c r="D34" s="660"/>
      <c r="E34" s="661"/>
      <c r="F34" s="107">
        <f>SUM(F35:F37)</f>
        <v>7800</v>
      </c>
      <c r="G34" s="680"/>
      <c r="H34" s="681"/>
    </row>
    <row r="35" spans="2:8" x14ac:dyDescent="0.25">
      <c r="B35" s="500" t="s">
        <v>134</v>
      </c>
      <c r="C35" s="111" t="s">
        <v>136</v>
      </c>
      <c r="D35" s="46">
        <v>1</v>
      </c>
      <c r="E35" s="47">
        <v>1200</v>
      </c>
      <c r="F35" s="48">
        <f>D35*E35</f>
        <v>1200</v>
      </c>
      <c r="G35" s="678"/>
      <c r="H35" s="679"/>
    </row>
    <row r="36" spans="2:8" x14ac:dyDescent="0.25">
      <c r="B36" s="500" t="s">
        <v>135</v>
      </c>
      <c r="C36" s="111" t="s">
        <v>135</v>
      </c>
      <c r="D36" s="46">
        <v>1</v>
      </c>
      <c r="E36" s="47">
        <v>200</v>
      </c>
      <c r="F36" s="48">
        <f>D36*E36</f>
        <v>200</v>
      </c>
      <c r="G36" s="678"/>
      <c r="H36" s="679"/>
    </row>
    <row r="37" spans="2:8" x14ac:dyDescent="0.25">
      <c r="B37" s="500" t="s">
        <v>325</v>
      </c>
      <c r="C37" s="111" t="s">
        <v>143</v>
      </c>
      <c r="D37" s="46">
        <v>1</v>
      </c>
      <c r="E37" s="47">
        <v>6400</v>
      </c>
      <c r="F37" s="48">
        <f>D37*E37</f>
        <v>6400</v>
      </c>
      <c r="G37" s="678"/>
      <c r="H37" s="679"/>
    </row>
    <row r="38" spans="2:8" ht="16.5" thickBot="1" x14ac:dyDescent="0.3">
      <c r="B38" s="516" t="s">
        <v>80</v>
      </c>
      <c r="C38" s="540"/>
      <c r="D38" s="540"/>
      <c r="E38" s="540"/>
      <c r="F38" s="506">
        <f>F5+F8+F10+F19+F22+F24+F34</f>
        <v>87585</v>
      </c>
      <c r="G38" s="674"/>
      <c r="H38" s="675"/>
    </row>
    <row r="39" spans="2:8" ht="15.75" thickBot="1" x14ac:dyDescent="0.3">
      <c r="B39" s="34"/>
      <c r="C39" s="35"/>
      <c r="D39" s="35"/>
      <c r="E39" s="56"/>
      <c r="F39" s="56"/>
      <c r="G39" s="57"/>
    </row>
    <row r="40" spans="2:8" ht="23.25" x14ac:dyDescent="0.35">
      <c r="B40" s="662" t="s">
        <v>395</v>
      </c>
      <c r="C40" s="663"/>
      <c r="D40" s="663"/>
      <c r="E40" s="663"/>
      <c r="F40" s="663"/>
      <c r="G40" s="663"/>
      <c r="H40" s="664"/>
    </row>
    <row r="41" spans="2:8" ht="3.75" customHeight="1" x14ac:dyDescent="0.25">
      <c r="B41" s="535"/>
      <c r="C41" s="35"/>
      <c r="D41" s="35"/>
      <c r="E41" s="56"/>
      <c r="F41" s="56"/>
      <c r="G41" s="57"/>
      <c r="H41" s="536"/>
    </row>
    <row r="42" spans="2:8" x14ac:dyDescent="0.25">
      <c r="B42" s="537"/>
      <c r="C42" s="533" t="s">
        <v>22</v>
      </c>
      <c r="D42" s="65" t="s">
        <v>23</v>
      </c>
      <c r="E42" s="66" t="s">
        <v>56</v>
      </c>
      <c r="F42" s="532" t="s">
        <v>262</v>
      </c>
      <c r="G42" s="534" t="s">
        <v>341</v>
      </c>
      <c r="H42" s="558" t="s">
        <v>342</v>
      </c>
    </row>
    <row r="43" spans="2:8" x14ac:dyDescent="0.25">
      <c r="B43" s="541" t="s">
        <v>389</v>
      </c>
      <c r="C43" s="38"/>
      <c r="D43" s="39"/>
      <c r="E43" s="40"/>
      <c r="F43" s="41">
        <f>SUM(F44:F45)</f>
        <v>2800</v>
      </c>
      <c r="G43" s="41">
        <f>SUM(G44:G45)</f>
        <v>1400</v>
      </c>
      <c r="H43" s="542">
        <f>SUM(H44:H45)</f>
        <v>1400</v>
      </c>
    </row>
    <row r="44" spans="2:8" ht="15" customHeight="1" x14ac:dyDescent="0.25">
      <c r="B44" s="503" t="s">
        <v>387</v>
      </c>
      <c r="C44" s="42" t="s">
        <v>44</v>
      </c>
      <c r="D44" s="43">
        <v>1</v>
      </c>
      <c r="E44" s="44">
        <v>2000</v>
      </c>
      <c r="F44" s="27">
        <f>D44*E44</f>
        <v>2000</v>
      </c>
      <c r="G44" s="505">
        <f>F44/2</f>
        <v>1000</v>
      </c>
      <c r="H44" s="557">
        <f>F44/2</f>
        <v>1000</v>
      </c>
    </row>
    <row r="45" spans="2:8" x14ac:dyDescent="0.25">
      <c r="B45" s="500" t="s">
        <v>388</v>
      </c>
      <c r="C45" s="42" t="s">
        <v>44</v>
      </c>
      <c r="D45" s="46">
        <v>1</v>
      </c>
      <c r="E45" s="47">
        <v>800</v>
      </c>
      <c r="F45" s="27">
        <f>D45*E45</f>
        <v>800</v>
      </c>
      <c r="G45" s="505">
        <f>F45/2</f>
        <v>400</v>
      </c>
      <c r="H45" s="557">
        <f>F45/2</f>
        <v>400</v>
      </c>
    </row>
    <row r="46" spans="2:8" x14ac:dyDescent="0.25">
      <c r="B46" s="541" t="s">
        <v>390</v>
      </c>
      <c r="C46" s="38"/>
      <c r="D46" s="39"/>
      <c r="E46" s="40"/>
      <c r="F46" s="41">
        <f>SUM(F47:F50)</f>
        <v>3450</v>
      </c>
      <c r="G46" s="41">
        <f>SUM(G47:G50)</f>
        <v>1725</v>
      </c>
      <c r="H46" s="542">
        <f>SUM(H47:H50)</f>
        <v>1725</v>
      </c>
    </row>
    <row r="47" spans="2:8" x14ac:dyDescent="0.25">
      <c r="B47" s="539" t="s">
        <v>391</v>
      </c>
      <c r="C47" s="49"/>
      <c r="D47" s="50">
        <v>1</v>
      </c>
      <c r="E47" s="51">
        <v>900</v>
      </c>
      <c r="F47" s="27">
        <f t="shared" ref="F47:F50" si="3">D47*E47</f>
        <v>900</v>
      </c>
      <c r="G47" s="505">
        <f>F47/2</f>
        <v>450</v>
      </c>
      <c r="H47" s="557">
        <f>F47/2</f>
        <v>450</v>
      </c>
    </row>
    <row r="48" spans="2:8" x14ac:dyDescent="0.25">
      <c r="B48" s="539" t="s">
        <v>392</v>
      </c>
      <c r="C48" s="49"/>
      <c r="D48" s="50">
        <v>1</v>
      </c>
      <c r="E48" s="51">
        <v>550</v>
      </c>
      <c r="F48" s="27">
        <f t="shared" si="3"/>
        <v>550</v>
      </c>
      <c r="G48" s="505">
        <f>F48/2</f>
        <v>275</v>
      </c>
      <c r="H48" s="557">
        <f>F48/2</f>
        <v>275</v>
      </c>
    </row>
    <row r="49" spans="2:8" x14ac:dyDescent="0.25">
      <c r="B49" s="539" t="s">
        <v>393</v>
      </c>
      <c r="C49" s="49"/>
      <c r="D49" s="50">
        <v>1</v>
      </c>
      <c r="E49" s="51">
        <v>100</v>
      </c>
      <c r="F49" s="27">
        <f t="shared" si="3"/>
        <v>100</v>
      </c>
      <c r="G49" s="505">
        <f>F49/2</f>
        <v>50</v>
      </c>
      <c r="H49" s="557">
        <f>F49/2</f>
        <v>50</v>
      </c>
    </row>
    <row r="50" spans="2:8" x14ac:dyDescent="0.25">
      <c r="B50" s="539" t="s">
        <v>394</v>
      </c>
      <c r="C50" s="53"/>
      <c r="D50" s="50">
        <v>1</v>
      </c>
      <c r="E50" s="51">
        <v>1900</v>
      </c>
      <c r="F50" s="27">
        <f t="shared" si="3"/>
        <v>1900</v>
      </c>
      <c r="G50" s="505">
        <f>F50/2</f>
        <v>950</v>
      </c>
      <c r="H50" s="557">
        <f>F50/2</f>
        <v>950</v>
      </c>
    </row>
    <row r="51" spans="2:8" ht="16.5" thickBot="1" x14ac:dyDescent="0.3">
      <c r="B51" s="516" t="s">
        <v>129</v>
      </c>
      <c r="C51" s="540"/>
      <c r="D51" s="540"/>
      <c r="E51" s="540"/>
      <c r="F51" s="506">
        <f>F43+F46</f>
        <v>6250</v>
      </c>
      <c r="G51" s="543">
        <f>G43+G46</f>
        <v>3125</v>
      </c>
      <c r="H51" s="559">
        <f>H43+H46</f>
        <v>3125</v>
      </c>
    </row>
    <row r="53" spans="2:8" ht="15.75" thickBot="1" x14ac:dyDescent="0.3"/>
    <row r="54" spans="2:8" ht="23.25" x14ac:dyDescent="0.35">
      <c r="B54" s="662" t="s">
        <v>360</v>
      </c>
      <c r="C54" s="663"/>
      <c r="D54" s="663"/>
      <c r="E54" s="663"/>
      <c r="F54" s="663"/>
      <c r="G54" s="663"/>
      <c r="H54" s="664"/>
    </row>
    <row r="55" spans="2:8" ht="3" customHeight="1" x14ac:dyDescent="0.25">
      <c r="B55" s="2"/>
      <c r="C55" s="133"/>
      <c r="D55" s="133"/>
      <c r="E55" s="133"/>
      <c r="F55" s="133"/>
      <c r="G55" s="133"/>
      <c r="H55" s="536"/>
    </row>
    <row r="56" spans="2:8" x14ac:dyDescent="0.25">
      <c r="B56" s="665" t="s">
        <v>354</v>
      </c>
      <c r="C56" s="666"/>
      <c r="D56" s="666"/>
      <c r="E56" s="666"/>
      <c r="F56" s="666"/>
      <c r="G56" s="667"/>
      <c r="H56" s="554">
        <f>F38</f>
        <v>87585</v>
      </c>
    </row>
    <row r="57" spans="2:8" ht="3.75" customHeight="1" x14ac:dyDescent="0.25">
      <c r="B57" s="551"/>
      <c r="C57" s="552"/>
      <c r="D57" s="552"/>
      <c r="E57" s="552"/>
      <c r="F57" s="552"/>
      <c r="G57" s="553"/>
      <c r="H57" s="550"/>
    </row>
    <row r="58" spans="2:8" x14ac:dyDescent="0.25">
      <c r="B58" s="665" t="s">
        <v>361</v>
      </c>
      <c r="C58" s="666"/>
      <c r="D58" s="666"/>
      <c r="E58" s="666"/>
      <c r="F58" s="666"/>
      <c r="G58" s="667"/>
      <c r="H58" s="555">
        <f>G51</f>
        <v>3125</v>
      </c>
    </row>
    <row r="59" spans="2:8" ht="3" customHeight="1" x14ac:dyDescent="0.25">
      <c r="B59" s="671"/>
      <c r="C59" s="672"/>
      <c r="D59" s="672"/>
      <c r="E59" s="672"/>
      <c r="F59" s="672"/>
      <c r="G59" s="673"/>
      <c r="H59" s="556"/>
    </row>
    <row r="60" spans="2:8" ht="18" customHeight="1" thickBot="1" x14ac:dyDescent="0.35">
      <c r="B60" s="668" t="s">
        <v>119</v>
      </c>
      <c r="C60" s="669"/>
      <c r="D60" s="669"/>
      <c r="E60" s="669"/>
      <c r="F60" s="669"/>
      <c r="G60" s="670"/>
      <c r="H60" s="549">
        <f>SUM(H56:H58)</f>
        <v>90710</v>
      </c>
    </row>
  </sheetData>
  <mergeCells count="49">
    <mergeCell ref="B40:H40"/>
    <mergeCell ref="B2:H2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5:H35"/>
    <mergeCell ref="G36:H36"/>
    <mergeCell ref="G37:H37"/>
    <mergeCell ref="G38:H38"/>
    <mergeCell ref="G30:H30"/>
    <mergeCell ref="G31:H31"/>
    <mergeCell ref="G32:H32"/>
    <mergeCell ref="G33:H33"/>
    <mergeCell ref="G34:H34"/>
    <mergeCell ref="B54:H54"/>
    <mergeCell ref="B56:G56"/>
    <mergeCell ref="B58:G58"/>
    <mergeCell ref="B60:G60"/>
    <mergeCell ref="B59:G59"/>
    <mergeCell ref="B24:E24"/>
    <mergeCell ref="B34:E34"/>
    <mergeCell ref="B5:E5"/>
    <mergeCell ref="B8:E8"/>
    <mergeCell ref="B10:E10"/>
    <mergeCell ref="B19:E19"/>
    <mergeCell ref="B22:E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I66"/>
  <sheetViews>
    <sheetView workbookViewId="0"/>
  </sheetViews>
  <sheetFormatPr defaultColWidth="11.42578125" defaultRowHeight="15" x14ac:dyDescent="0.25"/>
  <cols>
    <col min="1" max="1" width="1.28515625" customWidth="1"/>
    <col min="2" max="2" width="57.85546875" customWidth="1"/>
    <col min="5" max="5" width="15.140625" customWidth="1"/>
    <col min="6" max="9" width="15.28515625" customWidth="1"/>
  </cols>
  <sheetData>
    <row r="1" spans="2:8" ht="15.75" thickBot="1" x14ac:dyDescent="0.3"/>
    <row r="2" spans="2:8" ht="23.25" x14ac:dyDescent="0.35">
      <c r="B2" s="690" t="s">
        <v>364</v>
      </c>
      <c r="C2" s="691"/>
      <c r="D2" s="691"/>
      <c r="E2" s="691"/>
      <c r="F2" s="691"/>
      <c r="G2" s="691"/>
      <c r="H2" s="692"/>
    </row>
    <row r="3" spans="2:8" ht="3" customHeight="1" x14ac:dyDescent="0.25">
      <c r="B3" s="568"/>
      <c r="C3" s="4"/>
      <c r="D3" s="4"/>
      <c r="E3" s="4"/>
      <c r="F3" s="4"/>
      <c r="G3" s="4"/>
      <c r="H3" s="569"/>
    </row>
    <row r="4" spans="2:8" x14ac:dyDescent="0.25">
      <c r="B4" s="570"/>
      <c r="C4" s="64" t="s">
        <v>22</v>
      </c>
      <c r="D4" s="65" t="s">
        <v>83</v>
      </c>
      <c r="E4" s="66" t="s">
        <v>56</v>
      </c>
      <c r="F4" s="37" t="s">
        <v>353</v>
      </c>
      <c r="G4" s="714" t="s">
        <v>57</v>
      </c>
      <c r="H4" s="715"/>
    </row>
    <row r="5" spans="2:8" ht="3.75" customHeight="1" x14ac:dyDescent="0.25">
      <c r="B5" s="500"/>
      <c r="C5" s="45"/>
      <c r="D5" s="71"/>
      <c r="E5" s="72"/>
      <c r="F5" s="19"/>
      <c r="G5" s="498"/>
      <c r="H5" s="571"/>
    </row>
    <row r="6" spans="2:8" x14ac:dyDescent="0.25">
      <c r="B6" s="501" t="s">
        <v>331</v>
      </c>
      <c r="C6" s="67"/>
      <c r="D6" s="68"/>
      <c r="E6" s="69"/>
      <c r="F6" s="70">
        <f>SUM(F7:F7)</f>
        <v>5400</v>
      </c>
      <c r="G6" s="697"/>
      <c r="H6" s="698"/>
    </row>
    <row r="7" spans="2:8" x14ac:dyDescent="0.25">
      <c r="B7" s="502" t="s">
        <v>327</v>
      </c>
      <c r="C7" s="109" t="s">
        <v>24</v>
      </c>
      <c r="D7" s="113">
        <v>12</v>
      </c>
      <c r="E7" s="58">
        <v>450</v>
      </c>
      <c r="F7" s="48">
        <f>D7*E7</f>
        <v>5400</v>
      </c>
      <c r="G7" s="703"/>
      <c r="H7" s="704"/>
    </row>
    <row r="8" spans="2:8" x14ac:dyDescent="0.25">
      <c r="B8" s="501" t="s">
        <v>332</v>
      </c>
      <c r="C8" s="110"/>
      <c r="D8" s="114"/>
      <c r="E8" s="115"/>
      <c r="F8" s="70">
        <f>SUM(F9:F9)</f>
        <v>180</v>
      </c>
      <c r="G8" s="697"/>
      <c r="H8" s="698"/>
    </row>
    <row r="9" spans="2:8" x14ac:dyDescent="0.25">
      <c r="B9" s="500" t="s">
        <v>328</v>
      </c>
      <c r="C9" s="111" t="s">
        <v>41</v>
      </c>
      <c r="D9" s="116">
        <v>1</v>
      </c>
      <c r="E9" s="117">
        <v>180</v>
      </c>
      <c r="F9" s="19">
        <f>D9*E9</f>
        <v>180</v>
      </c>
      <c r="G9" s="707"/>
      <c r="H9" s="708"/>
    </row>
    <row r="10" spans="2:8" x14ac:dyDescent="0.25">
      <c r="B10" s="501" t="s">
        <v>333</v>
      </c>
      <c r="C10" s="110"/>
      <c r="D10" s="114"/>
      <c r="E10" s="115"/>
      <c r="F10" s="70">
        <f>SUM(F11:F11)</f>
        <v>360</v>
      </c>
      <c r="G10" s="697"/>
      <c r="H10" s="698"/>
    </row>
    <row r="11" spans="2:8" x14ac:dyDescent="0.25">
      <c r="B11" s="503" t="s">
        <v>329</v>
      </c>
      <c r="C11" s="112" t="s">
        <v>24</v>
      </c>
      <c r="D11" s="118">
        <v>12</v>
      </c>
      <c r="E11" s="119">
        <v>30</v>
      </c>
      <c r="F11" s="77">
        <f>D11*E11</f>
        <v>360</v>
      </c>
      <c r="G11" s="705"/>
      <c r="H11" s="706"/>
    </row>
    <row r="12" spans="2:8" x14ac:dyDescent="0.25">
      <c r="B12" s="501" t="s">
        <v>334</v>
      </c>
      <c r="C12" s="110"/>
      <c r="D12" s="114"/>
      <c r="E12" s="115"/>
      <c r="F12" s="70">
        <f>SUM(F13:F13)</f>
        <v>3600</v>
      </c>
      <c r="G12" s="697"/>
      <c r="H12" s="698"/>
    </row>
    <row r="13" spans="2:8" x14ac:dyDescent="0.25">
      <c r="B13" s="500" t="s">
        <v>330</v>
      </c>
      <c r="C13" s="112" t="s">
        <v>24</v>
      </c>
      <c r="D13" s="118">
        <v>12</v>
      </c>
      <c r="E13" s="117">
        <v>300</v>
      </c>
      <c r="F13" s="19">
        <f>D13*E13</f>
        <v>3600</v>
      </c>
      <c r="G13" s="707"/>
      <c r="H13" s="708"/>
    </row>
    <row r="14" spans="2:8" x14ac:dyDescent="0.25">
      <c r="B14" s="501" t="s">
        <v>10</v>
      </c>
      <c r="C14" s="110"/>
      <c r="D14" s="114"/>
      <c r="E14" s="115"/>
      <c r="F14" s="70">
        <f>SUM(F15:F16)</f>
        <v>1000</v>
      </c>
      <c r="G14" s="697"/>
      <c r="H14" s="698"/>
    </row>
    <row r="15" spans="2:8" x14ac:dyDescent="0.25">
      <c r="B15" s="500" t="s">
        <v>137</v>
      </c>
      <c r="C15" s="111" t="s">
        <v>41</v>
      </c>
      <c r="D15" s="116">
        <v>1</v>
      </c>
      <c r="E15" s="117">
        <v>100</v>
      </c>
      <c r="F15" s="19">
        <f>D15*E15</f>
        <v>100</v>
      </c>
      <c r="G15" s="709"/>
      <c r="H15" s="710"/>
    </row>
    <row r="16" spans="2:8" x14ac:dyDescent="0.25">
      <c r="B16" s="500" t="s">
        <v>84</v>
      </c>
      <c r="C16" s="111" t="s">
        <v>24</v>
      </c>
      <c r="D16" s="116">
        <v>12</v>
      </c>
      <c r="E16" s="117">
        <v>75</v>
      </c>
      <c r="F16" s="19">
        <f>D16*E16</f>
        <v>900</v>
      </c>
      <c r="G16" s="716"/>
      <c r="H16" s="717"/>
    </row>
    <row r="17" spans="2:8" x14ac:dyDescent="0.25">
      <c r="B17" s="501" t="s">
        <v>339</v>
      </c>
      <c r="C17" s="67"/>
      <c r="D17" s="68"/>
      <c r="E17" s="69"/>
      <c r="F17" s="70">
        <f>SUM(F18:F19)</f>
        <v>900</v>
      </c>
      <c r="G17" s="697"/>
      <c r="H17" s="698"/>
    </row>
    <row r="18" spans="2:8" x14ac:dyDescent="0.25">
      <c r="B18" s="500" t="s">
        <v>337</v>
      </c>
      <c r="C18" s="45" t="s">
        <v>24</v>
      </c>
      <c r="D18" s="71">
        <v>12</v>
      </c>
      <c r="E18" s="72">
        <v>40</v>
      </c>
      <c r="F18" s="19">
        <f>D18*E18</f>
        <v>480</v>
      </c>
      <c r="G18" s="718"/>
      <c r="H18" s="719"/>
    </row>
    <row r="19" spans="2:8" x14ac:dyDescent="0.25">
      <c r="B19" s="500" t="s">
        <v>338</v>
      </c>
      <c r="C19" s="45" t="s">
        <v>24</v>
      </c>
      <c r="D19" s="71">
        <v>12</v>
      </c>
      <c r="E19" s="72">
        <v>35</v>
      </c>
      <c r="F19" s="19">
        <f>D19*E19</f>
        <v>420</v>
      </c>
      <c r="G19" s="720"/>
      <c r="H19" s="721"/>
    </row>
    <row r="20" spans="2:8" x14ac:dyDescent="0.25">
      <c r="B20" s="501" t="s">
        <v>12</v>
      </c>
      <c r="C20" s="67" t="s">
        <v>24</v>
      </c>
      <c r="D20" s="68">
        <v>12</v>
      </c>
      <c r="E20" s="69">
        <v>250</v>
      </c>
      <c r="F20" s="70">
        <f>D20*E20</f>
        <v>3000</v>
      </c>
      <c r="G20" s="697"/>
      <c r="H20" s="698"/>
    </row>
    <row r="21" spans="2:8" ht="4.5" customHeight="1" x14ac:dyDescent="0.25">
      <c r="B21" s="500"/>
      <c r="C21" s="45"/>
      <c r="D21" s="71"/>
      <c r="E21" s="72"/>
      <c r="F21" s="19"/>
      <c r="G21" s="17"/>
      <c r="H21" s="572"/>
    </row>
    <row r="22" spans="2:8" x14ac:dyDescent="0.25">
      <c r="B22" s="501" t="s">
        <v>13</v>
      </c>
      <c r="C22" s="67" t="s">
        <v>24</v>
      </c>
      <c r="D22" s="68">
        <v>12</v>
      </c>
      <c r="E22" s="69">
        <v>25</v>
      </c>
      <c r="F22" s="70">
        <f>D22*E22</f>
        <v>300</v>
      </c>
      <c r="G22" s="697"/>
      <c r="H22" s="698"/>
    </row>
    <row r="23" spans="2:8" ht="4.5" customHeight="1" x14ac:dyDescent="0.25">
      <c r="B23" s="502"/>
      <c r="C23" s="73"/>
      <c r="D23" s="46"/>
      <c r="E23" s="47"/>
      <c r="F23" s="48"/>
      <c r="G23" s="499"/>
      <c r="H23" s="572"/>
    </row>
    <row r="24" spans="2:8" x14ac:dyDescent="0.25">
      <c r="B24" s="501" t="s">
        <v>14</v>
      </c>
      <c r="C24" s="67"/>
      <c r="D24" s="68"/>
      <c r="E24" s="69"/>
      <c r="F24" s="70">
        <v>200</v>
      </c>
      <c r="G24" s="697"/>
      <c r="H24" s="698"/>
    </row>
    <row r="25" spans="2:8" x14ac:dyDescent="0.25">
      <c r="B25" s="503" t="s">
        <v>85</v>
      </c>
      <c r="C25" s="73" t="s">
        <v>24</v>
      </c>
      <c r="D25" s="46">
        <v>12</v>
      </c>
      <c r="E25" s="47"/>
      <c r="F25" s="48"/>
      <c r="G25" s="693"/>
      <c r="H25" s="694"/>
    </row>
    <row r="26" spans="2:8" x14ac:dyDescent="0.25">
      <c r="B26" s="503" t="s">
        <v>90</v>
      </c>
      <c r="C26" s="73" t="s">
        <v>24</v>
      </c>
      <c r="D26" s="46">
        <v>12</v>
      </c>
      <c r="E26" s="47"/>
      <c r="F26" s="48"/>
      <c r="G26" s="695"/>
      <c r="H26" s="696"/>
    </row>
    <row r="27" spans="2:8" x14ac:dyDescent="0.25">
      <c r="B27" s="503" t="s">
        <v>91</v>
      </c>
      <c r="C27" s="73" t="s">
        <v>24</v>
      </c>
      <c r="D27" s="46">
        <v>12</v>
      </c>
      <c r="E27" s="47"/>
      <c r="F27" s="48"/>
      <c r="G27" s="695"/>
      <c r="H27" s="696"/>
    </row>
    <row r="28" spans="2:8" x14ac:dyDescent="0.25">
      <c r="B28" s="503" t="s">
        <v>86</v>
      </c>
      <c r="C28" s="73" t="s">
        <v>87</v>
      </c>
      <c r="D28" s="46">
        <v>3</v>
      </c>
      <c r="E28" s="47"/>
      <c r="F28" s="48"/>
      <c r="G28" s="701"/>
      <c r="H28" s="702"/>
    </row>
    <row r="29" spans="2:8" x14ac:dyDescent="0.25">
      <c r="B29" s="501" t="s">
        <v>88</v>
      </c>
      <c r="C29" s="67" t="s">
        <v>41</v>
      </c>
      <c r="D29" s="68">
        <v>1</v>
      </c>
      <c r="E29" s="69">
        <v>250</v>
      </c>
      <c r="F29" s="70">
        <f>D29*E29</f>
        <v>250</v>
      </c>
      <c r="G29" s="697"/>
      <c r="H29" s="698"/>
    </row>
    <row r="30" spans="2:8" ht="6" customHeight="1" x14ac:dyDescent="0.25">
      <c r="B30" s="573"/>
      <c r="C30" s="54"/>
      <c r="D30" s="50"/>
      <c r="E30" s="51"/>
      <c r="F30" s="52"/>
      <c r="G30" s="703"/>
      <c r="H30" s="704"/>
    </row>
    <row r="31" spans="2:8" x14ac:dyDescent="0.25">
      <c r="B31" s="501" t="s">
        <v>53</v>
      </c>
      <c r="C31" s="67" t="s">
        <v>41</v>
      </c>
      <c r="D31" s="68">
        <v>1</v>
      </c>
      <c r="E31" s="69">
        <v>500</v>
      </c>
      <c r="F31" s="70">
        <f>D31*E31</f>
        <v>500</v>
      </c>
      <c r="G31" s="697"/>
      <c r="H31" s="698"/>
    </row>
    <row r="32" spans="2:8" ht="6" customHeight="1" x14ac:dyDescent="0.25">
      <c r="B32" s="574"/>
      <c r="C32" s="79"/>
      <c r="D32" s="80"/>
      <c r="E32" s="81"/>
      <c r="F32" s="82"/>
      <c r="G32" s="705"/>
      <c r="H32" s="706"/>
    </row>
    <row r="33" spans="2:9" ht="16.5" thickBot="1" x14ac:dyDescent="0.3">
      <c r="B33" s="575" t="s">
        <v>92</v>
      </c>
      <c r="C33" s="576"/>
      <c r="D33" s="577"/>
      <c r="E33" s="578"/>
      <c r="F33" s="506">
        <f>F31+F29+F24+F22+F20+F17+F14+F12+F10+F8+F6</f>
        <v>15690</v>
      </c>
      <c r="G33" s="699"/>
      <c r="H33" s="700"/>
    </row>
    <row r="34" spans="2:9" x14ac:dyDescent="0.25">
      <c r="B34" s="83"/>
      <c r="C34" s="74"/>
      <c r="D34" s="74"/>
      <c r="E34" s="84"/>
      <c r="F34" s="84"/>
      <c r="G34" s="84"/>
      <c r="H34" s="4"/>
    </row>
    <row r="35" spans="2:9" ht="15.75" thickBot="1" x14ac:dyDescent="0.3">
      <c r="B35" s="83"/>
      <c r="C35" s="74"/>
      <c r="D35" s="74"/>
      <c r="E35" s="84"/>
      <c r="F35" s="84"/>
      <c r="G35" s="84"/>
      <c r="H35" s="4"/>
    </row>
    <row r="36" spans="2:9" ht="23.25" x14ac:dyDescent="0.35">
      <c r="B36" s="662" t="s">
        <v>397</v>
      </c>
      <c r="C36" s="663"/>
      <c r="D36" s="663"/>
      <c r="E36" s="663"/>
      <c r="F36" s="663"/>
      <c r="G36" s="663"/>
      <c r="H36" s="663"/>
      <c r="I36" s="664"/>
    </row>
    <row r="37" spans="2:9" ht="3.75" customHeight="1" x14ac:dyDescent="0.25">
      <c r="B37" s="2"/>
      <c r="C37" s="133"/>
      <c r="D37" s="133"/>
      <c r="E37" s="133"/>
      <c r="F37" s="133"/>
      <c r="G37" s="133"/>
      <c r="H37" s="133"/>
      <c r="I37" s="536"/>
    </row>
    <row r="38" spans="2:9" ht="15.75" x14ac:dyDescent="0.25">
      <c r="B38" s="570"/>
      <c r="C38" s="64" t="s">
        <v>398</v>
      </c>
      <c r="D38" s="65" t="s">
        <v>399</v>
      </c>
      <c r="E38" s="66" t="s">
        <v>400</v>
      </c>
      <c r="F38" s="579" t="s">
        <v>401</v>
      </c>
      <c r="G38" s="16" t="s">
        <v>144</v>
      </c>
      <c r="H38" s="16" t="s">
        <v>145</v>
      </c>
      <c r="I38" s="627" t="s">
        <v>326</v>
      </c>
    </row>
    <row r="39" spans="2:9" ht="3.75" customHeight="1" x14ac:dyDescent="0.25">
      <c r="B39" s="500"/>
      <c r="C39" s="45"/>
      <c r="D39" s="71"/>
      <c r="E39" s="72"/>
      <c r="F39" s="19"/>
      <c r="G39" s="19"/>
      <c r="H39" s="48"/>
      <c r="I39" s="628"/>
    </row>
    <row r="40" spans="2:9" x14ac:dyDescent="0.25">
      <c r="B40" s="501" t="s">
        <v>402</v>
      </c>
      <c r="C40" s="67"/>
      <c r="D40" s="68"/>
      <c r="E40" s="69"/>
      <c r="F40" s="70">
        <f>SUM(F41:F41)</f>
        <v>16200</v>
      </c>
      <c r="G40" s="70">
        <f>SUM(G41:G41)</f>
        <v>5400</v>
      </c>
      <c r="H40" s="70">
        <f>H41</f>
        <v>5400</v>
      </c>
      <c r="I40" s="629">
        <f>I41</f>
        <v>5400</v>
      </c>
    </row>
    <row r="41" spans="2:9" x14ac:dyDescent="0.25">
      <c r="B41" s="502" t="s">
        <v>402</v>
      </c>
      <c r="C41" s="73" t="s">
        <v>415</v>
      </c>
      <c r="D41" s="46">
        <v>12</v>
      </c>
      <c r="E41" s="47">
        <v>1350</v>
      </c>
      <c r="F41" s="505">
        <f>D41*E41</f>
        <v>16200</v>
      </c>
      <c r="G41" s="48">
        <f>F41/3</f>
        <v>5400</v>
      </c>
      <c r="H41" s="48">
        <f>F41/3</f>
        <v>5400</v>
      </c>
      <c r="I41" s="628">
        <f>F41/3</f>
        <v>5400</v>
      </c>
    </row>
    <row r="42" spans="2:9" x14ac:dyDescent="0.25">
      <c r="B42" s="501" t="s">
        <v>403</v>
      </c>
      <c r="C42" s="67"/>
      <c r="D42" s="68"/>
      <c r="E42" s="69"/>
      <c r="F42" s="70">
        <f>SUM(F43:F43)</f>
        <v>5400</v>
      </c>
      <c r="G42" s="70">
        <f>SUM(G43:G43)</f>
        <v>1800</v>
      </c>
      <c r="H42" s="70">
        <f>SUM(H43:H43)</f>
        <v>1800</v>
      </c>
      <c r="I42" s="629">
        <f>SUM(I43:I43)</f>
        <v>1800</v>
      </c>
    </row>
    <row r="43" spans="2:9" x14ac:dyDescent="0.25">
      <c r="B43" s="502" t="s">
        <v>404</v>
      </c>
      <c r="C43" s="73" t="s">
        <v>415</v>
      </c>
      <c r="D43" s="46">
        <v>12</v>
      </c>
      <c r="E43" s="47">
        <v>450</v>
      </c>
      <c r="F43" s="505">
        <f>D43*E43</f>
        <v>5400</v>
      </c>
      <c r="G43" s="48">
        <f>F43/3</f>
        <v>1800</v>
      </c>
      <c r="H43" s="48">
        <f>F43/3</f>
        <v>1800</v>
      </c>
      <c r="I43" s="628">
        <f>F43/3</f>
        <v>1800</v>
      </c>
    </row>
    <row r="44" spans="2:9" x14ac:dyDescent="0.25">
      <c r="B44" s="501" t="s">
        <v>405</v>
      </c>
      <c r="C44" s="67"/>
      <c r="D44" s="68"/>
      <c r="E44" s="69"/>
      <c r="F44" s="70">
        <f>SUM(F45:F45)</f>
        <v>210</v>
      </c>
      <c r="G44" s="70">
        <f>SUM(G45:G45)</f>
        <v>70</v>
      </c>
      <c r="H44" s="70">
        <f>SUM(H45:H45)</f>
        <v>70</v>
      </c>
      <c r="I44" s="629">
        <f>SUM(I45:I45)</f>
        <v>70</v>
      </c>
    </row>
    <row r="45" spans="2:9" x14ac:dyDescent="0.25">
      <c r="B45" s="500" t="s">
        <v>405</v>
      </c>
      <c r="C45" s="45" t="s">
        <v>416</v>
      </c>
      <c r="D45" s="71">
        <v>1</v>
      </c>
      <c r="E45" s="72">
        <v>210</v>
      </c>
      <c r="F45" s="505">
        <f>D45*E45</f>
        <v>210</v>
      </c>
      <c r="G45" s="48">
        <f>F45/3</f>
        <v>70</v>
      </c>
      <c r="H45" s="48">
        <f>F45/3</f>
        <v>70</v>
      </c>
      <c r="I45" s="628">
        <f>F45/3</f>
        <v>70</v>
      </c>
    </row>
    <row r="46" spans="2:9" x14ac:dyDescent="0.25">
      <c r="B46" s="501" t="s">
        <v>406</v>
      </c>
      <c r="C46" s="67"/>
      <c r="D46" s="68"/>
      <c r="E46" s="69"/>
      <c r="F46" s="70">
        <f>SUM(F47:F49)</f>
        <v>1080</v>
      </c>
      <c r="G46" s="70">
        <f>SUM(G47:G49)</f>
        <v>360</v>
      </c>
      <c r="H46" s="70">
        <f>SUM(H47:H49)</f>
        <v>360</v>
      </c>
      <c r="I46" s="629">
        <f>SUM(I47:I49)</f>
        <v>360</v>
      </c>
    </row>
    <row r="47" spans="2:9" x14ac:dyDescent="0.25">
      <c r="B47" s="503" t="s">
        <v>409</v>
      </c>
      <c r="C47" s="73" t="s">
        <v>415</v>
      </c>
      <c r="D47" s="75">
        <v>12</v>
      </c>
      <c r="E47" s="76">
        <v>45</v>
      </c>
      <c r="F47" s="505">
        <f t="shared" ref="F47:F49" si="0">D47*E47</f>
        <v>540</v>
      </c>
      <c r="G47" s="48">
        <f t="shared" ref="G47:G49" si="1">F47/3</f>
        <v>180</v>
      </c>
      <c r="H47" s="48">
        <f t="shared" ref="H47:H49" si="2">F47/3</f>
        <v>180</v>
      </c>
      <c r="I47" s="628">
        <f t="shared" ref="I47:I49" si="3">F47/3</f>
        <v>180</v>
      </c>
    </row>
    <row r="48" spans="2:9" x14ac:dyDescent="0.25">
      <c r="B48" s="503" t="s">
        <v>407</v>
      </c>
      <c r="C48" s="73" t="s">
        <v>415</v>
      </c>
      <c r="D48" s="75">
        <v>12</v>
      </c>
      <c r="E48" s="76">
        <v>24</v>
      </c>
      <c r="F48" s="505">
        <f t="shared" si="0"/>
        <v>288</v>
      </c>
      <c r="G48" s="48">
        <f t="shared" si="1"/>
        <v>96</v>
      </c>
      <c r="H48" s="48">
        <f t="shared" si="2"/>
        <v>96</v>
      </c>
      <c r="I48" s="628">
        <f t="shared" si="3"/>
        <v>96</v>
      </c>
    </row>
    <row r="49" spans="2:9" x14ac:dyDescent="0.25">
      <c r="B49" s="503" t="s">
        <v>408</v>
      </c>
      <c r="C49" s="73" t="s">
        <v>415</v>
      </c>
      <c r="D49" s="75">
        <v>12</v>
      </c>
      <c r="E49" s="76">
        <v>21</v>
      </c>
      <c r="F49" s="505">
        <f t="shared" si="0"/>
        <v>252</v>
      </c>
      <c r="G49" s="48">
        <f t="shared" si="1"/>
        <v>84</v>
      </c>
      <c r="H49" s="48">
        <f t="shared" si="2"/>
        <v>84</v>
      </c>
      <c r="I49" s="628">
        <f t="shared" si="3"/>
        <v>84</v>
      </c>
    </row>
    <row r="50" spans="2:9" x14ac:dyDescent="0.25">
      <c r="B50" s="501" t="s">
        <v>411</v>
      </c>
      <c r="C50" s="67"/>
      <c r="D50" s="68"/>
      <c r="E50" s="69"/>
      <c r="F50" s="70">
        <f>SUM(F51:F51)</f>
        <v>1260</v>
      </c>
      <c r="G50" s="70">
        <f>SUM(G51:G51)</f>
        <v>420</v>
      </c>
      <c r="H50" s="70">
        <f>SUM(H51:H51)</f>
        <v>420</v>
      </c>
      <c r="I50" s="629">
        <f>SUM(I51:I51)</f>
        <v>420</v>
      </c>
    </row>
    <row r="51" spans="2:9" x14ac:dyDescent="0.25">
      <c r="B51" s="500" t="s">
        <v>410</v>
      </c>
      <c r="C51" s="73" t="s">
        <v>415</v>
      </c>
      <c r="D51" s="71">
        <v>12</v>
      </c>
      <c r="E51" s="72">
        <v>105</v>
      </c>
      <c r="F51" s="505">
        <f>D51*E51</f>
        <v>1260</v>
      </c>
      <c r="G51" s="48">
        <f>F51/3</f>
        <v>420</v>
      </c>
      <c r="H51" s="48">
        <f>F51/3</f>
        <v>420</v>
      </c>
      <c r="I51" s="628">
        <f>F51/3</f>
        <v>420</v>
      </c>
    </row>
    <row r="52" spans="2:9" x14ac:dyDescent="0.25">
      <c r="B52" s="501" t="s">
        <v>52</v>
      </c>
      <c r="C52" s="67" t="s">
        <v>415</v>
      </c>
      <c r="D52" s="68">
        <v>12</v>
      </c>
      <c r="E52" s="69">
        <v>500</v>
      </c>
      <c r="F52" s="69">
        <f>D52*E52</f>
        <v>6000</v>
      </c>
      <c r="G52" s="69">
        <f>F52/3</f>
        <v>2000</v>
      </c>
      <c r="H52" s="69">
        <f>F52/3</f>
        <v>2000</v>
      </c>
      <c r="I52" s="630">
        <f>F52/3</f>
        <v>2000</v>
      </c>
    </row>
    <row r="53" spans="2:9" ht="6" customHeight="1" x14ac:dyDescent="0.25">
      <c r="B53" s="500"/>
      <c r="C53" s="45"/>
      <c r="D53" s="71"/>
      <c r="E53" s="72"/>
      <c r="F53" s="504"/>
      <c r="G53" s="19"/>
      <c r="H53" s="48"/>
      <c r="I53" s="628"/>
    </row>
    <row r="54" spans="2:9" x14ac:dyDescent="0.25">
      <c r="B54" s="501" t="s">
        <v>412</v>
      </c>
      <c r="C54" s="67"/>
      <c r="D54" s="68"/>
      <c r="E54" s="69"/>
      <c r="F54" s="70">
        <f>SUM(F55:F56)</f>
        <v>3600</v>
      </c>
      <c r="G54" s="70">
        <f>SUM(G55:G56)</f>
        <v>1200</v>
      </c>
      <c r="H54" s="70">
        <f>SUM(H55:H56)</f>
        <v>1200</v>
      </c>
      <c r="I54" s="629">
        <f>SUM(I55:I56)</f>
        <v>1200</v>
      </c>
    </row>
    <row r="55" spans="2:9" x14ac:dyDescent="0.25">
      <c r="B55" s="500" t="s">
        <v>413</v>
      </c>
      <c r="C55" s="73" t="s">
        <v>415</v>
      </c>
      <c r="D55" s="71">
        <v>12</v>
      </c>
      <c r="E55" s="72">
        <v>60</v>
      </c>
      <c r="F55" s="505">
        <f t="shared" ref="F55:F56" si="4">D55*E55</f>
        <v>720</v>
      </c>
      <c r="G55" s="48">
        <f t="shared" ref="G55:G56" si="5">F55/3</f>
        <v>240</v>
      </c>
      <c r="H55" s="48">
        <f t="shared" ref="H55:H56" si="6">F55/3</f>
        <v>240</v>
      </c>
      <c r="I55" s="628">
        <f t="shared" ref="I55:I56" si="7">F55/3</f>
        <v>240</v>
      </c>
    </row>
    <row r="56" spans="2:9" x14ac:dyDescent="0.25">
      <c r="B56" s="500" t="s">
        <v>414</v>
      </c>
      <c r="C56" s="73" t="s">
        <v>415</v>
      </c>
      <c r="D56" s="71">
        <v>12</v>
      </c>
      <c r="E56" s="72">
        <v>240</v>
      </c>
      <c r="F56" s="505">
        <f t="shared" si="4"/>
        <v>2880</v>
      </c>
      <c r="G56" s="48">
        <f t="shared" si="5"/>
        <v>960</v>
      </c>
      <c r="H56" s="48">
        <f t="shared" si="6"/>
        <v>960</v>
      </c>
      <c r="I56" s="628">
        <f t="shared" si="7"/>
        <v>960</v>
      </c>
    </row>
    <row r="57" spans="2:9" ht="16.5" thickBot="1" x14ac:dyDescent="0.3">
      <c r="B57" s="711" t="s">
        <v>352</v>
      </c>
      <c r="C57" s="712"/>
      <c r="D57" s="712"/>
      <c r="E57" s="713"/>
      <c r="F57" s="543">
        <f>F54+F52+F50+F46+F44+F40+F42</f>
        <v>33750</v>
      </c>
      <c r="G57" s="506">
        <f>G54+G52+G50+G46+G44+G40+G42</f>
        <v>11250</v>
      </c>
      <c r="H57" s="631">
        <f>H54+H52+H50+H46+H44+H40+H42</f>
        <v>11250</v>
      </c>
      <c r="I57" s="632">
        <f>I54+I52+I50+I46+I44+I40+I42</f>
        <v>11250</v>
      </c>
    </row>
    <row r="59" spans="2:9" ht="15.75" thickBot="1" x14ac:dyDescent="0.3"/>
    <row r="60" spans="2:9" ht="23.25" x14ac:dyDescent="0.35">
      <c r="B60" s="690" t="s">
        <v>365</v>
      </c>
      <c r="C60" s="691"/>
      <c r="D60" s="691"/>
      <c r="E60" s="691"/>
      <c r="F60" s="691"/>
      <c r="G60" s="691"/>
      <c r="H60" s="692"/>
    </row>
    <row r="61" spans="2:9" ht="3.75" customHeight="1" x14ac:dyDescent="0.25">
      <c r="B61" s="2"/>
      <c r="C61" s="133"/>
      <c r="D61" s="133"/>
      <c r="E61" s="133"/>
      <c r="F61" s="133"/>
      <c r="G61" s="133"/>
      <c r="H61" s="580"/>
    </row>
    <row r="62" spans="2:9" x14ac:dyDescent="0.25">
      <c r="B62" s="665" t="s">
        <v>348</v>
      </c>
      <c r="C62" s="666"/>
      <c r="D62" s="666"/>
      <c r="E62" s="666"/>
      <c r="F62" s="666"/>
      <c r="G62" s="666"/>
      <c r="H62" s="582">
        <f>F33</f>
        <v>15690</v>
      </c>
    </row>
    <row r="63" spans="2:9" ht="3.75" customHeight="1" x14ac:dyDescent="0.25">
      <c r="B63" s="2"/>
      <c r="C63" s="133"/>
      <c r="D63" s="133"/>
      <c r="E63" s="133"/>
      <c r="F63" s="133"/>
      <c r="G63" s="133"/>
      <c r="H63" s="581"/>
    </row>
    <row r="64" spans="2:9" x14ac:dyDescent="0.25">
      <c r="B64" s="665" t="s">
        <v>366</v>
      </c>
      <c r="C64" s="666"/>
      <c r="D64" s="666"/>
      <c r="E64" s="666"/>
      <c r="F64" s="666"/>
      <c r="G64" s="666"/>
      <c r="H64" s="582">
        <f>H57</f>
        <v>11250</v>
      </c>
    </row>
    <row r="65" spans="2:8" ht="4.5" customHeight="1" x14ac:dyDescent="0.25">
      <c r="B65" s="2"/>
      <c r="C65" s="133"/>
      <c r="D65" s="133"/>
      <c r="E65" s="133"/>
      <c r="F65" s="133"/>
      <c r="G65" s="133"/>
      <c r="H65" s="581"/>
    </row>
    <row r="66" spans="2:8" ht="21" customHeight="1" thickBot="1" x14ac:dyDescent="0.35">
      <c r="B66" s="688" t="s">
        <v>262</v>
      </c>
      <c r="C66" s="689"/>
      <c r="D66" s="689"/>
      <c r="E66" s="689"/>
      <c r="F66" s="689"/>
      <c r="G66" s="689"/>
      <c r="H66" s="583">
        <f>SUM(H62:H64)</f>
        <v>26940</v>
      </c>
    </row>
  </sheetData>
  <mergeCells count="34">
    <mergeCell ref="B2:H2"/>
    <mergeCell ref="B57:E57"/>
    <mergeCell ref="G4:H4"/>
    <mergeCell ref="G6:H6"/>
    <mergeCell ref="G8:H8"/>
    <mergeCell ref="G10:H10"/>
    <mergeCell ref="G12:H12"/>
    <mergeCell ref="G14:H14"/>
    <mergeCell ref="G17:H17"/>
    <mergeCell ref="G20:H20"/>
    <mergeCell ref="G22:H22"/>
    <mergeCell ref="G24:H24"/>
    <mergeCell ref="G29:H29"/>
    <mergeCell ref="G16:H16"/>
    <mergeCell ref="G18:H18"/>
    <mergeCell ref="G19:H19"/>
    <mergeCell ref="G7:H7"/>
    <mergeCell ref="G9:H9"/>
    <mergeCell ref="G11:H11"/>
    <mergeCell ref="G13:H13"/>
    <mergeCell ref="G15:H15"/>
    <mergeCell ref="B62:G62"/>
    <mergeCell ref="B64:G64"/>
    <mergeCell ref="B66:G66"/>
    <mergeCell ref="B60:H60"/>
    <mergeCell ref="G25:H25"/>
    <mergeCell ref="G26:H26"/>
    <mergeCell ref="G31:H31"/>
    <mergeCell ref="G33:H33"/>
    <mergeCell ref="B36:I36"/>
    <mergeCell ref="G27:H27"/>
    <mergeCell ref="G28:H28"/>
    <mergeCell ref="G30:H30"/>
    <mergeCell ref="G32:H32"/>
  </mergeCells>
  <pageMargins left="0.7" right="0.7" top="0.75" bottom="0.75" header="0.3" footer="0.3"/>
  <ignoredErrors>
    <ignoredError sqref="H42 H44 F46:H46 F50:H5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K28"/>
  <sheetViews>
    <sheetView workbookViewId="0"/>
  </sheetViews>
  <sheetFormatPr defaultColWidth="11.42578125" defaultRowHeight="15" x14ac:dyDescent="0.25"/>
  <cols>
    <col min="1" max="1" width="2.28515625" customWidth="1"/>
    <col min="2" max="2" width="1.42578125" customWidth="1"/>
  </cols>
  <sheetData>
    <row r="1" spans="2:11" ht="15.75" thickBot="1" x14ac:dyDescent="0.3"/>
    <row r="2" spans="2:11" ht="24" thickBot="1" x14ac:dyDescent="0.4">
      <c r="B2" s="722" t="s">
        <v>375</v>
      </c>
      <c r="C2" s="723"/>
      <c r="D2" s="723"/>
      <c r="E2" s="723"/>
      <c r="F2" s="723"/>
      <c r="G2" s="723"/>
      <c r="H2" s="723"/>
      <c r="I2" s="723"/>
      <c r="J2" s="723"/>
      <c r="K2" s="724"/>
    </row>
    <row r="3" spans="2:11" x14ac:dyDescent="0.25">
      <c r="B3" s="2"/>
      <c r="C3" s="3"/>
      <c r="D3" s="3"/>
      <c r="E3" s="3"/>
      <c r="F3" s="3"/>
      <c r="G3" s="3"/>
      <c r="H3" s="3"/>
      <c r="I3" s="4"/>
      <c r="J3" s="4"/>
      <c r="K3" s="569"/>
    </row>
    <row r="4" spans="2:11" x14ac:dyDescent="0.25">
      <c r="B4" s="2"/>
      <c r="C4" s="697" t="s">
        <v>374</v>
      </c>
      <c r="D4" s="732"/>
      <c r="E4" s="732"/>
      <c r="F4" s="732"/>
      <c r="G4" s="732"/>
      <c r="H4" s="595"/>
      <c r="I4" s="4"/>
      <c r="J4" s="4"/>
      <c r="K4" s="569"/>
    </row>
    <row r="5" spans="2:11" x14ac:dyDescent="0.25">
      <c r="B5" s="2"/>
      <c r="C5" s="5"/>
      <c r="D5" s="3"/>
      <c r="E5" s="3"/>
      <c r="F5" s="3"/>
      <c r="G5" s="3"/>
      <c r="H5" s="6"/>
      <c r="I5" s="4"/>
      <c r="J5" s="4"/>
      <c r="K5" s="590"/>
    </row>
    <row r="6" spans="2:11" x14ac:dyDescent="0.25">
      <c r="B6" s="2"/>
      <c r="C6" s="7" t="s">
        <v>30</v>
      </c>
      <c r="D6" s="3"/>
      <c r="E6" s="3"/>
      <c r="F6" s="3"/>
      <c r="G6" s="3"/>
      <c r="H6" s="8">
        <v>1500</v>
      </c>
      <c r="I6" s="9"/>
      <c r="J6" s="4"/>
      <c r="K6" s="569"/>
    </row>
    <row r="7" spans="2:11" x14ac:dyDescent="0.25">
      <c r="B7" s="2"/>
      <c r="C7" s="7" t="s">
        <v>31</v>
      </c>
      <c r="D7" s="3"/>
      <c r="E7" s="3"/>
      <c r="F7" s="3"/>
      <c r="G7" s="3"/>
      <c r="H7" s="8">
        <v>1200</v>
      </c>
      <c r="I7" s="4"/>
      <c r="J7" s="4"/>
      <c r="K7" s="569"/>
    </row>
    <row r="8" spans="2:11" x14ac:dyDescent="0.25">
      <c r="B8" s="2"/>
      <c r="C8" s="7" t="s">
        <v>32</v>
      </c>
      <c r="D8" s="3"/>
      <c r="E8" s="3"/>
      <c r="F8" s="3"/>
      <c r="G8" s="3"/>
      <c r="H8" s="8">
        <v>720</v>
      </c>
      <c r="I8" s="4"/>
      <c r="J8" s="4"/>
      <c r="K8" s="569"/>
    </row>
    <row r="9" spans="2:11" x14ac:dyDescent="0.25">
      <c r="B9" s="2"/>
      <c r="C9" s="7" t="s">
        <v>33</v>
      </c>
      <c r="D9" s="3"/>
      <c r="E9" s="3"/>
      <c r="F9" s="3"/>
      <c r="G9" s="3"/>
      <c r="H9" s="8">
        <v>0</v>
      </c>
      <c r="I9" s="4"/>
      <c r="J9" s="4"/>
      <c r="K9" s="569"/>
    </row>
    <row r="10" spans="2:11" x14ac:dyDescent="0.25">
      <c r="B10" s="2"/>
      <c r="C10" s="7" t="s">
        <v>34</v>
      </c>
      <c r="D10" s="3"/>
      <c r="E10" s="3"/>
      <c r="F10" s="3"/>
      <c r="G10" s="3"/>
      <c r="H10" s="8">
        <v>700</v>
      </c>
      <c r="I10" s="4"/>
      <c r="J10" s="4"/>
      <c r="K10" s="569"/>
    </row>
    <row r="11" spans="2:11" x14ac:dyDescent="0.25">
      <c r="B11" s="2"/>
      <c r="C11" s="7" t="s">
        <v>35</v>
      </c>
      <c r="D11" s="3"/>
      <c r="E11" s="3"/>
      <c r="F11" s="3"/>
      <c r="G11" s="3"/>
      <c r="H11" s="8">
        <v>152</v>
      </c>
      <c r="I11" s="4"/>
      <c r="J11" s="4"/>
      <c r="K11" s="569"/>
    </row>
    <row r="12" spans="2:11" x14ac:dyDescent="0.25">
      <c r="B12" s="2"/>
      <c r="C12" s="7" t="s">
        <v>36</v>
      </c>
      <c r="D12" s="3"/>
      <c r="E12" s="3"/>
      <c r="F12" s="3"/>
      <c r="G12" s="3"/>
      <c r="H12" s="8">
        <v>500</v>
      </c>
      <c r="I12" s="4"/>
      <c r="J12" s="4"/>
      <c r="K12" s="569"/>
    </row>
    <row r="13" spans="2:11" x14ac:dyDescent="0.25">
      <c r="B13" s="2"/>
      <c r="C13" s="7" t="s">
        <v>37</v>
      </c>
      <c r="D13" s="3"/>
      <c r="E13" s="3"/>
      <c r="F13" s="3"/>
      <c r="G13" s="3"/>
      <c r="H13" s="8">
        <v>2900</v>
      </c>
      <c r="I13" s="4"/>
      <c r="J13" s="4"/>
      <c r="K13" s="569"/>
    </row>
    <row r="14" spans="2:11" x14ac:dyDescent="0.25">
      <c r="B14" s="2"/>
      <c r="C14" s="7" t="s">
        <v>43</v>
      </c>
      <c r="D14" s="3"/>
      <c r="E14" s="3"/>
      <c r="F14" s="3"/>
      <c r="G14" s="3"/>
      <c r="H14" s="6">
        <v>100</v>
      </c>
      <c r="I14" s="4"/>
      <c r="J14" s="4"/>
      <c r="K14" s="569"/>
    </row>
    <row r="15" spans="2:11" x14ac:dyDescent="0.25">
      <c r="B15" s="2"/>
      <c r="C15" s="7" t="s">
        <v>38</v>
      </c>
      <c r="D15" s="3"/>
      <c r="E15" s="3"/>
      <c r="F15" s="3"/>
      <c r="G15" s="3"/>
      <c r="H15" s="6"/>
      <c r="I15" s="4"/>
      <c r="J15" s="4"/>
      <c r="K15" s="569"/>
    </row>
    <row r="16" spans="2:11" x14ac:dyDescent="0.25">
      <c r="B16" s="2"/>
      <c r="C16" s="10"/>
      <c r="D16" s="11"/>
      <c r="E16" s="11"/>
      <c r="F16" s="11"/>
      <c r="G16" s="11"/>
      <c r="H16" s="12"/>
      <c r="I16" s="4"/>
      <c r="J16" s="4"/>
      <c r="K16" s="569"/>
    </row>
    <row r="17" spans="2:11" ht="15.75" thickBot="1" x14ac:dyDescent="0.3">
      <c r="B17" s="2"/>
      <c r="C17" s="13"/>
      <c r="D17" s="3"/>
      <c r="E17" s="3"/>
      <c r="F17" s="3"/>
      <c r="G17" s="3"/>
      <c r="H17" s="3"/>
      <c r="I17" s="4"/>
      <c r="J17" s="4"/>
      <c r="K17" s="569"/>
    </row>
    <row r="18" spans="2:11" x14ac:dyDescent="0.25">
      <c r="B18" s="587"/>
      <c r="C18" s="586"/>
      <c r="D18" s="586"/>
      <c r="E18" s="586"/>
      <c r="F18" s="586"/>
      <c r="G18" s="586"/>
      <c r="H18" s="588" t="s">
        <v>22</v>
      </c>
      <c r="I18" s="589" t="s">
        <v>83</v>
      </c>
      <c r="J18" s="589" t="s">
        <v>139</v>
      </c>
      <c r="K18" s="591" t="s">
        <v>89</v>
      </c>
    </row>
    <row r="19" spans="2:11" x14ac:dyDescent="0.25">
      <c r="B19" s="596"/>
      <c r="C19" s="730" t="s">
        <v>396</v>
      </c>
      <c r="D19" s="730"/>
      <c r="E19" s="730"/>
      <c r="F19" s="730"/>
      <c r="G19" s="731"/>
      <c r="H19" s="21"/>
      <c r="I19" s="19"/>
      <c r="J19" s="19"/>
      <c r="K19" s="592">
        <f>SUM(K20:K25)</f>
        <v>71684</v>
      </c>
    </row>
    <row r="20" spans="2:11" x14ac:dyDescent="0.25">
      <c r="B20" s="2"/>
      <c r="C20" s="733" t="s">
        <v>39</v>
      </c>
      <c r="D20" s="733"/>
      <c r="E20" s="733"/>
      <c r="F20" s="733"/>
      <c r="G20" s="734"/>
      <c r="H20" s="24" t="s">
        <v>24</v>
      </c>
      <c r="I20" s="19">
        <v>12</v>
      </c>
      <c r="J20" s="19">
        <v>3491</v>
      </c>
      <c r="K20" s="585">
        <f>J20*I20</f>
        <v>41892</v>
      </c>
    </row>
    <row r="21" spans="2:11" x14ac:dyDescent="0.25">
      <c r="B21" s="2"/>
      <c r="C21" s="728" t="s">
        <v>4</v>
      </c>
      <c r="D21" s="728"/>
      <c r="E21" s="728"/>
      <c r="F21" s="728"/>
      <c r="G21" s="729"/>
      <c r="H21" s="25" t="s">
        <v>24</v>
      </c>
      <c r="I21" s="19">
        <v>12</v>
      </c>
      <c r="J21" s="19">
        <v>1300</v>
      </c>
      <c r="K21" s="585">
        <f>J21*I21</f>
        <v>15600</v>
      </c>
    </row>
    <row r="22" spans="2:11" x14ac:dyDescent="0.25">
      <c r="B22" s="2"/>
      <c r="C22" s="728" t="s">
        <v>40</v>
      </c>
      <c r="D22" s="728"/>
      <c r="E22" s="728"/>
      <c r="F22" s="728"/>
      <c r="G22" s="729"/>
      <c r="H22" s="26" t="s">
        <v>41</v>
      </c>
      <c r="I22" s="19">
        <v>1</v>
      </c>
      <c r="J22" s="19">
        <f>(2*H7)+(2*H8)+(2*H10)</f>
        <v>5240</v>
      </c>
      <c r="K22" s="585">
        <f>J22*I22</f>
        <v>5240</v>
      </c>
    </row>
    <row r="23" spans="2:11" x14ac:dyDescent="0.25">
      <c r="B23" s="2"/>
      <c r="C23" s="728" t="s">
        <v>6</v>
      </c>
      <c r="D23" s="728"/>
      <c r="E23" s="728"/>
      <c r="F23" s="728"/>
      <c r="G23" s="729"/>
      <c r="H23" s="22" t="s">
        <v>41</v>
      </c>
      <c r="I23" s="19">
        <v>1</v>
      </c>
      <c r="J23" s="19">
        <f>H11</f>
        <v>152</v>
      </c>
      <c r="K23" s="585">
        <f>+I23*J23</f>
        <v>152</v>
      </c>
    </row>
    <row r="24" spans="2:11" x14ac:dyDescent="0.25">
      <c r="B24" s="2"/>
      <c r="C24" s="728" t="s">
        <v>7</v>
      </c>
      <c r="D24" s="728"/>
      <c r="E24" s="728"/>
      <c r="F24" s="728"/>
      <c r="G24" s="729"/>
      <c r="H24" s="26" t="s">
        <v>24</v>
      </c>
      <c r="I24" s="19">
        <v>11</v>
      </c>
      <c r="J24" s="19">
        <f>H12</f>
        <v>500</v>
      </c>
      <c r="K24" s="585">
        <f>J24*I24</f>
        <v>5500</v>
      </c>
    </row>
    <row r="25" spans="2:11" x14ac:dyDescent="0.25">
      <c r="B25" s="2"/>
      <c r="C25" s="728" t="s">
        <v>42</v>
      </c>
      <c r="D25" s="728"/>
      <c r="E25" s="728"/>
      <c r="F25" s="728"/>
      <c r="G25" s="729"/>
      <c r="H25" s="26" t="s">
        <v>41</v>
      </c>
      <c r="I25" s="19">
        <v>1</v>
      </c>
      <c r="J25" s="19">
        <f>H13+(H14*4)</f>
        <v>3300</v>
      </c>
      <c r="K25" s="585">
        <f>J25*I25</f>
        <v>3300</v>
      </c>
    </row>
    <row r="26" spans="2:11" x14ac:dyDescent="0.25">
      <c r="B26" s="545"/>
      <c r="C26" s="20"/>
      <c r="D26" s="20"/>
      <c r="E26" s="20"/>
      <c r="F26" s="20"/>
      <c r="G26" s="28"/>
      <c r="H26" s="29"/>
      <c r="I26" s="30"/>
      <c r="J26" s="30"/>
      <c r="K26" s="593"/>
    </row>
    <row r="27" spans="2:11" ht="16.5" thickBot="1" x14ac:dyDescent="0.3">
      <c r="B27" s="725" t="s">
        <v>376</v>
      </c>
      <c r="C27" s="726"/>
      <c r="D27" s="726"/>
      <c r="E27" s="726"/>
      <c r="F27" s="726"/>
      <c r="G27" s="726"/>
      <c r="H27" s="726"/>
      <c r="I27" s="726"/>
      <c r="J27" s="727"/>
      <c r="K27" s="594">
        <f>K19</f>
        <v>71684</v>
      </c>
    </row>
    <row r="28" spans="2:11" x14ac:dyDescent="0.25">
      <c r="C28" s="23"/>
      <c r="D28" s="23"/>
      <c r="E28" s="23"/>
      <c r="F28" s="23"/>
      <c r="G28" s="28"/>
      <c r="H28" s="28"/>
      <c r="I28" s="28"/>
      <c r="J28" s="31"/>
      <c r="K28" s="31"/>
    </row>
  </sheetData>
  <mergeCells count="10">
    <mergeCell ref="B2:K2"/>
    <mergeCell ref="B27:J27"/>
    <mergeCell ref="C24:G24"/>
    <mergeCell ref="C25:G25"/>
    <mergeCell ref="C19:G19"/>
    <mergeCell ref="C4:G4"/>
    <mergeCell ref="C20:G20"/>
    <mergeCell ref="C21:G21"/>
    <mergeCell ref="C22:G22"/>
    <mergeCell ref="C23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K58"/>
  <sheetViews>
    <sheetView workbookViewId="0">
      <selection activeCell="F34" sqref="F34"/>
    </sheetView>
  </sheetViews>
  <sheetFormatPr defaultColWidth="11.42578125" defaultRowHeight="15" x14ac:dyDescent="0.25"/>
  <cols>
    <col min="1" max="1" width="1.5703125" customWidth="1"/>
    <col min="2" max="2" width="45.5703125" customWidth="1"/>
    <col min="9" max="11" width="12.85546875" customWidth="1"/>
  </cols>
  <sheetData>
    <row r="1" spans="2:11" ht="9.75" customHeight="1" thickBot="1" x14ac:dyDescent="0.3"/>
    <row r="2" spans="2:11" ht="24" thickBot="1" x14ac:dyDescent="0.4">
      <c r="B2" s="754" t="s">
        <v>371</v>
      </c>
      <c r="C2" s="755"/>
      <c r="D2" s="755"/>
      <c r="E2" s="755"/>
      <c r="F2" s="755"/>
      <c r="G2" s="755"/>
      <c r="H2" s="755"/>
      <c r="I2" s="755"/>
      <c r="J2" s="755"/>
      <c r="K2" s="756"/>
    </row>
    <row r="3" spans="2:11" ht="10.5" customHeight="1" thickBot="1" x14ac:dyDescent="0.4">
      <c r="B3" s="106"/>
      <c r="C3" s="106"/>
      <c r="D3" s="106"/>
      <c r="E3" s="106"/>
      <c r="F3" s="106"/>
      <c r="G3" s="106"/>
      <c r="H3" s="106"/>
      <c r="I3" s="106"/>
    </row>
    <row r="4" spans="2:11" ht="23.25" x14ac:dyDescent="0.35">
      <c r="B4" s="690" t="s">
        <v>372</v>
      </c>
      <c r="C4" s="691"/>
      <c r="D4" s="691"/>
      <c r="E4" s="691"/>
      <c r="F4" s="691"/>
      <c r="G4" s="691"/>
      <c r="H4" s="691"/>
      <c r="I4" s="691"/>
      <c r="J4" s="691"/>
      <c r="K4" s="692"/>
    </row>
    <row r="5" spans="2:11" ht="5.25" customHeight="1" x14ac:dyDescent="0.25">
      <c r="B5" s="608"/>
      <c r="C5" s="4"/>
      <c r="D5" s="4"/>
      <c r="E5" s="4"/>
      <c r="F5" s="4"/>
      <c r="G5" s="85"/>
      <c r="H5" s="4"/>
      <c r="I5" s="36"/>
      <c r="J5" s="133"/>
      <c r="K5" s="536"/>
    </row>
    <row r="6" spans="2:11" ht="15.75" x14ac:dyDescent="0.25">
      <c r="B6" s="597"/>
      <c r="C6" s="14" t="s">
        <v>22</v>
      </c>
      <c r="D6" s="15" t="s">
        <v>83</v>
      </c>
      <c r="E6" s="15" t="s">
        <v>95</v>
      </c>
      <c r="F6" s="15" t="s">
        <v>96</v>
      </c>
      <c r="G6" s="90" t="s">
        <v>97</v>
      </c>
      <c r="H6" s="37" t="s">
        <v>89</v>
      </c>
      <c r="I6" s="682" t="s">
        <v>57</v>
      </c>
      <c r="J6" s="743"/>
      <c r="K6" s="683"/>
    </row>
    <row r="7" spans="2:11" ht="3.75" customHeight="1" x14ac:dyDescent="0.25">
      <c r="B7" s="574"/>
      <c r="C7" s="78"/>
      <c r="D7" s="78"/>
      <c r="E7" s="78"/>
      <c r="F7" s="78"/>
      <c r="G7" s="86"/>
      <c r="H7" s="52"/>
      <c r="I7" s="744"/>
      <c r="J7" s="745"/>
      <c r="K7" s="746"/>
    </row>
    <row r="8" spans="2:11" s="108" customFormat="1" x14ac:dyDescent="0.25">
      <c r="B8" s="599" t="s">
        <v>320</v>
      </c>
      <c r="C8" s="120"/>
      <c r="D8" s="120"/>
      <c r="E8" s="120"/>
      <c r="F8" s="120"/>
      <c r="G8" s="121"/>
      <c r="H8" s="107">
        <f>INT(SUM(H9:H21))</f>
        <v>8427</v>
      </c>
      <c r="I8" s="680"/>
      <c r="J8" s="747"/>
      <c r="K8" s="681"/>
    </row>
    <row r="9" spans="2:11" x14ac:dyDescent="0.25">
      <c r="B9" s="574" t="s">
        <v>98</v>
      </c>
      <c r="C9" s="74" t="s">
        <v>99</v>
      </c>
      <c r="D9" s="74">
        <v>3</v>
      </c>
      <c r="E9" s="74">
        <v>20</v>
      </c>
      <c r="F9" s="74"/>
      <c r="G9" s="87"/>
      <c r="H9" s="48">
        <f>D9*E9</f>
        <v>60</v>
      </c>
      <c r="I9" s="748"/>
      <c r="J9" s="749"/>
      <c r="K9" s="750"/>
    </row>
    <row r="10" spans="2:11" x14ac:dyDescent="0.25">
      <c r="B10" s="574" t="s">
        <v>100</v>
      </c>
      <c r="C10" s="74" t="s">
        <v>99</v>
      </c>
      <c r="D10" s="74">
        <v>3</v>
      </c>
      <c r="E10" s="74">
        <v>35</v>
      </c>
      <c r="F10" s="74"/>
      <c r="G10" s="87"/>
      <c r="H10" s="48">
        <f t="shared" ref="H10:H17" si="0">D10*E10</f>
        <v>105</v>
      </c>
      <c r="I10" s="748"/>
      <c r="J10" s="749"/>
      <c r="K10" s="750"/>
    </row>
    <row r="11" spans="2:11" x14ac:dyDescent="0.25">
      <c r="B11" s="574" t="s">
        <v>101</v>
      </c>
      <c r="C11" s="74" t="s">
        <v>99</v>
      </c>
      <c r="D11" s="74">
        <v>2</v>
      </c>
      <c r="E11" s="74">
        <v>55</v>
      </c>
      <c r="F11" s="74"/>
      <c r="G11" s="87"/>
      <c r="H11" s="48">
        <f t="shared" si="0"/>
        <v>110</v>
      </c>
      <c r="I11" s="748"/>
      <c r="J11" s="749"/>
      <c r="K11" s="750"/>
    </row>
    <row r="12" spans="2:11" x14ac:dyDescent="0.25">
      <c r="B12" s="574" t="s">
        <v>102</v>
      </c>
      <c r="C12" s="74" t="s">
        <v>103</v>
      </c>
      <c r="D12" s="74">
        <v>8</v>
      </c>
      <c r="E12" s="74">
        <v>20</v>
      </c>
      <c r="F12" s="74"/>
      <c r="G12" s="87"/>
      <c r="H12" s="48">
        <f t="shared" si="0"/>
        <v>160</v>
      </c>
      <c r="I12" s="748"/>
      <c r="J12" s="749"/>
      <c r="K12" s="750"/>
    </row>
    <row r="13" spans="2:11" x14ac:dyDescent="0.25">
      <c r="B13" s="574" t="s">
        <v>104</v>
      </c>
      <c r="C13" s="74" t="s">
        <v>103</v>
      </c>
      <c r="D13" s="74">
        <v>6</v>
      </c>
      <c r="E13" s="74">
        <v>20</v>
      </c>
      <c r="F13" s="74"/>
      <c r="G13" s="87"/>
      <c r="H13" s="48">
        <f t="shared" si="0"/>
        <v>120</v>
      </c>
      <c r="I13" s="748"/>
      <c r="J13" s="749"/>
      <c r="K13" s="750"/>
    </row>
    <row r="14" spans="2:11" x14ac:dyDescent="0.25">
      <c r="B14" s="574" t="s">
        <v>105</v>
      </c>
      <c r="C14" s="74" t="s">
        <v>106</v>
      </c>
      <c r="D14" s="74">
        <v>8</v>
      </c>
      <c r="E14" s="74">
        <v>7</v>
      </c>
      <c r="F14" s="74"/>
      <c r="G14" s="87"/>
      <c r="H14" s="48">
        <f t="shared" si="0"/>
        <v>56</v>
      </c>
      <c r="I14" s="748"/>
      <c r="J14" s="749"/>
      <c r="K14" s="750"/>
    </row>
    <row r="15" spans="2:11" x14ac:dyDescent="0.25">
      <c r="B15" s="574" t="s">
        <v>107</v>
      </c>
      <c r="C15" s="74" t="s">
        <v>107</v>
      </c>
      <c r="D15" s="74">
        <v>1</v>
      </c>
      <c r="E15" s="74">
        <v>120</v>
      </c>
      <c r="F15" s="74"/>
      <c r="G15" s="87"/>
      <c r="H15" s="48">
        <f t="shared" si="0"/>
        <v>120</v>
      </c>
      <c r="I15" s="748"/>
      <c r="J15" s="749"/>
      <c r="K15" s="750"/>
    </row>
    <row r="16" spans="2:11" x14ac:dyDescent="0.25">
      <c r="B16" s="503" t="s">
        <v>108</v>
      </c>
      <c r="C16" s="74" t="s">
        <v>44</v>
      </c>
      <c r="D16" s="74">
        <v>1</v>
      </c>
      <c r="E16" s="74">
        <v>750</v>
      </c>
      <c r="F16" s="74"/>
      <c r="G16" s="87"/>
      <c r="H16" s="48">
        <f t="shared" si="0"/>
        <v>750</v>
      </c>
      <c r="I16" s="748"/>
      <c r="J16" s="749"/>
      <c r="K16" s="750"/>
    </row>
    <row r="17" spans="2:11" x14ac:dyDescent="0.25">
      <c r="B17" s="503" t="s">
        <v>109</v>
      </c>
      <c r="C17" s="74" t="s">
        <v>110</v>
      </c>
      <c r="D17" s="74">
        <v>4</v>
      </c>
      <c r="E17" s="74">
        <v>220</v>
      </c>
      <c r="F17" s="74"/>
      <c r="G17" s="87"/>
      <c r="H17" s="48">
        <f t="shared" si="0"/>
        <v>880</v>
      </c>
      <c r="I17" s="748"/>
      <c r="J17" s="749"/>
      <c r="K17" s="750"/>
    </row>
    <row r="18" spans="2:11" x14ac:dyDescent="0.25">
      <c r="B18" s="574" t="s">
        <v>111</v>
      </c>
      <c r="C18" s="74"/>
      <c r="D18" s="74"/>
      <c r="E18" s="74"/>
      <c r="F18" s="74"/>
      <c r="G18" s="87"/>
      <c r="H18" s="48">
        <f>SUM((H9:H17))*10%</f>
        <v>236.10000000000002</v>
      </c>
      <c r="I18" s="748"/>
      <c r="J18" s="749"/>
      <c r="K18" s="750"/>
    </row>
    <row r="19" spans="2:11" x14ac:dyDescent="0.25">
      <c r="B19" s="574" t="s">
        <v>114</v>
      </c>
      <c r="C19" s="78" t="s">
        <v>24</v>
      </c>
      <c r="D19" s="78">
        <v>11</v>
      </c>
      <c r="E19" s="78">
        <v>1</v>
      </c>
      <c r="F19" s="78">
        <v>3000</v>
      </c>
      <c r="G19" s="87">
        <v>0.16</v>
      </c>
      <c r="H19" s="52">
        <f>D19*E19*F19*G19</f>
        <v>5280</v>
      </c>
      <c r="I19" s="751"/>
      <c r="J19" s="752"/>
      <c r="K19" s="753"/>
    </row>
    <row r="20" spans="2:11" x14ac:dyDescent="0.25">
      <c r="B20" s="609" t="s">
        <v>112</v>
      </c>
      <c r="C20" s="4" t="s">
        <v>41</v>
      </c>
      <c r="D20" s="78">
        <v>1</v>
      </c>
      <c r="E20" s="78">
        <v>50</v>
      </c>
      <c r="F20" s="78"/>
      <c r="G20" s="86"/>
      <c r="H20" s="52">
        <f>D20*E20</f>
        <v>50</v>
      </c>
      <c r="I20" s="748"/>
      <c r="J20" s="749"/>
      <c r="K20" s="750"/>
    </row>
    <row r="21" spans="2:11" x14ac:dyDescent="0.25">
      <c r="B21" s="609" t="s">
        <v>113</v>
      </c>
      <c r="C21" s="4" t="s">
        <v>41</v>
      </c>
      <c r="D21" s="74">
        <v>1</v>
      </c>
      <c r="E21" s="74">
        <v>500</v>
      </c>
      <c r="F21" s="74"/>
      <c r="G21" s="87"/>
      <c r="H21" s="52">
        <f>D21*E21</f>
        <v>500</v>
      </c>
      <c r="I21" s="748"/>
      <c r="J21" s="749"/>
      <c r="K21" s="750"/>
    </row>
    <row r="22" spans="2:11" ht="3" customHeight="1" x14ac:dyDescent="0.25">
      <c r="B22" s="574"/>
      <c r="C22" s="78"/>
      <c r="D22" s="78"/>
      <c r="E22" s="78"/>
      <c r="F22" s="78"/>
      <c r="G22" s="86"/>
      <c r="H22" s="52"/>
      <c r="I22" s="748"/>
      <c r="J22" s="749"/>
      <c r="K22" s="750"/>
    </row>
    <row r="23" spans="2:11" s="108" customFormat="1" x14ac:dyDescent="0.25">
      <c r="B23" s="599" t="s">
        <v>321</v>
      </c>
      <c r="C23" s="122"/>
      <c r="D23" s="120"/>
      <c r="E23" s="120"/>
      <c r="F23" s="120"/>
      <c r="G23" s="123"/>
      <c r="H23" s="107">
        <f>INT(SUM(H24:H36))</f>
        <v>6417</v>
      </c>
      <c r="I23" s="680"/>
      <c r="J23" s="747"/>
      <c r="K23" s="681"/>
    </row>
    <row r="24" spans="2:11" x14ac:dyDescent="0.25">
      <c r="B24" s="574" t="s">
        <v>98</v>
      </c>
      <c r="C24" s="74" t="s">
        <v>99</v>
      </c>
      <c r="D24" s="74">
        <v>3</v>
      </c>
      <c r="E24" s="74">
        <v>20</v>
      </c>
      <c r="F24" s="74"/>
      <c r="G24" s="74"/>
      <c r="H24" s="48">
        <f>D24*E24</f>
        <v>60</v>
      </c>
      <c r="I24" s="737"/>
      <c r="J24" s="738"/>
      <c r="K24" s="739"/>
    </row>
    <row r="25" spans="2:11" x14ac:dyDescent="0.25">
      <c r="B25" s="574" t="s">
        <v>100</v>
      </c>
      <c r="C25" s="74" t="s">
        <v>99</v>
      </c>
      <c r="D25" s="74">
        <v>3</v>
      </c>
      <c r="E25" s="74">
        <v>35</v>
      </c>
      <c r="F25" s="74"/>
      <c r="G25" s="74"/>
      <c r="H25" s="48">
        <f t="shared" ref="H25:H32" si="1">D25*E25</f>
        <v>105</v>
      </c>
      <c r="I25" s="737"/>
      <c r="J25" s="738"/>
      <c r="K25" s="739"/>
    </row>
    <row r="26" spans="2:11" x14ac:dyDescent="0.25">
      <c r="B26" s="574" t="s">
        <v>101</v>
      </c>
      <c r="C26" s="74" t="s">
        <v>99</v>
      </c>
      <c r="D26" s="74">
        <v>2</v>
      </c>
      <c r="E26" s="74">
        <v>55</v>
      </c>
      <c r="F26" s="74"/>
      <c r="G26" s="74"/>
      <c r="H26" s="48">
        <f t="shared" si="1"/>
        <v>110</v>
      </c>
      <c r="I26" s="737"/>
      <c r="J26" s="738"/>
      <c r="K26" s="739"/>
    </row>
    <row r="27" spans="2:11" x14ac:dyDescent="0.25">
      <c r="B27" s="574" t="s">
        <v>102</v>
      </c>
      <c r="C27" s="74" t="s">
        <v>103</v>
      </c>
      <c r="D27" s="74">
        <v>8</v>
      </c>
      <c r="E27" s="74">
        <v>20</v>
      </c>
      <c r="F27" s="74"/>
      <c r="G27" s="74"/>
      <c r="H27" s="48">
        <f t="shared" si="1"/>
        <v>160</v>
      </c>
      <c r="I27" s="737"/>
      <c r="J27" s="738"/>
      <c r="K27" s="739"/>
    </row>
    <row r="28" spans="2:11" x14ac:dyDescent="0.25">
      <c r="B28" s="574" t="s">
        <v>104</v>
      </c>
      <c r="C28" s="74" t="s">
        <v>103</v>
      </c>
      <c r="D28" s="74">
        <v>6</v>
      </c>
      <c r="E28" s="74">
        <v>20</v>
      </c>
      <c r="F28" s="74"/>
      <c r="G28" s="74"/>
      <c r="H28" s="48">
        <f t="shared" si="1"/>
        <v>120</v>
      </c>
      <c r="I28" s="737"/>
      <c r="J28" s="738"/>
      <c r="K28" s="739"/>
    </row>
    <row r="29" spans="2:11" x14ac:dyDescent="0.25">
      <c r="B29" s="574" t="s">
        <v>105</v>
      </c>
      <c r="C29" s="74" t="s">
        <v>106</v>
      </c>
      <c r="D29" s="74">
        <v>8</v>
      </c>
      <c r="E29" s="74">
        <v>7</v>
      </c>
      <c r="F29" s="74"/>
      <c r="G29" s="74"/>
      <c r="H29" s="48">
        <f t="shared" si="1"/>
        <v>56</v>
      </c>
      <c r="I29" s="737"/>
      <c r="J29" s="738"/>
      <c r="K29" s="739"/>
    </row>
    <row r="30" spans="2:11" x14ac:dyDescent="0.25">
      <c r="B30" s="574" t="s">
        <v>107</v>
      </c>
      <c r="C30" s="74" t="s">
        <v>107</v>
      </c>
      <c r="D30" s="74">
        <v>1</v>
      </c>
      <c r="E30" s="74">
        <v>120</v>
      </c>
      <c r="F30" s="74"/>
      <c r="G30" s="74"/>
      <c r="H30" s="48">
        <f t="shared" si="1"/>
        <v>120</v>
      </c>
      <c r="I30" s="737"/>
      <c r="J30" s="738"/>
      <c r="K30" s="739"/>
    </row>
    <row r="31" spans="2:11" x14ac:dyDescent="0.25">
      <c r="B31" s="503" t="s">
        <v>108</v>
      </c>
      <c r="C31" s="74" t="s">
        <v>44</v>
      </c>
      <c r="D31" s="74">
        <v>1</v>
      </c>
      <c r="E31" s="74">
        <v>750</v>
      </c>
      <c r="F31" s="74"/>
      <c r="G31" s="74"/>
      <c r="H31" s="48">
        <f t="shared" si="1"/>
        <v>750</v>
      </c>
      <c r="I31" s="737"/>
      <c r="J31" s="738"/>
      <c r="K31" s="739"/>
    </row>
    <row r="32" spans="2:11" x14ac:dyDescent="0.25">
      <c r="B32" s="503" t="s">
        <v>109</v>
      </c>
      <c r="C32" s="74" t="s">
        <v>110</v>
      </c>
      <c r="D32" s="74">
        <v>4</v>
      </c>
      <c r="E32" s="74">
        <v>220</v>
      </c>
      <c r="F32" s="74"/>
      <c r="G32" s="74"/>
      <c r="H32" s="48">
        <f t="shared" si="1"/>
        <v>880</v>
      </c>
      <c r="I32" s="737"/>
      <c r="J32" s="738"/>
      <c r="K32" s="739"/>
    </row>
    <row r="33" spans="2:11" x14ac:dyDescent="0.25">
      <c r="B33" s="574" t="s">
        <v>111</v>
      </c>
      <c r="C33" s="74"/>
      <c r="D33" s="74"/>
      <c r="E33" s="74"/>
      <c r="F33" s="74"/>
      <c r="G33" s="87"/>
      <c r="H33" s="48">
        <f>SUM((H24:H32))*10%</f>
        <v>236.10000000000002</v>
      </c>
      <c r="I33" s="737"/>
      <c r="J33" s="738"/>
      <c r="K33" s="739"/>
    </row>
    <row r="34" spans="2:11" x14ac:dyDescent="0.25">
      <c r="B34" s="574" t="s">
        <v>114</v>
      </c>
      <c r="C34" s="78" t="s">
        <v>24</v>
      </c>
      <c r="D34" s="78">
        <v>11</v>
      </c>
      <c r="E34" s="74">
        <v>1</v>
      </c>
      <c r="F34" s="74">
        <v>2000</v>
      </c>
      <c r="G34" s="87">
        <v>0.16</v>
      </c>
      <c r="H34" s="48">
        <f>D34*E34*F34*G34</f>
        <v>3520</v>
      </c>
      <c r="I34" s="737"/>
      <c r="J34" s="738"/>
      <c r="K34" s="739"/>
    </row>
    <row r="35" spans="2:11" x14ac:dyDescent="0.25">
      <c r="B35" s="609" t="s">
        <v>112</v>
      </c>
      <c r="C35" s="4" t="s">
        <v>41</v>
      </c>
      <c r="D35" s="78">
        <v>1</v>
      </c>
      <c r="E35" s="74">
        <v>50</v>
      </c>
      <c r="F35" s="74"/>
      <c r="G35" s="74"/>
      <c r="H35" s="48">
        <f>D35*E35</f>
        <v>50</v>
      </c>
      <c r="I35" s="737"/>
      <c r="J35" s="738"/>
      <c r="K35" s="739"/>
    </row>
    <row r="36" spans="2:11" x14ac:dyDescent="0.25">
      <c r="B36" s="609" t="s">
        <v>113</v>
      </c>
      <c r="C36" s="4" t="s">
        <v>41</v>
      </c>
      <c r="D36" s="74">
        <v>1</v>
      </c>
      <c r="E36" s="74">
        <v>250</v>
      </c>
      <c r="F36" s="74"/>
      <c r="G36" s="74"/>
      <c r="H36" s="48">
        <f>D36*E36</f>
        <v>250</v>
      </c>
      <c r="I36" s="737"/>
      <c r="J36" s="738"/>
      <c r="K36" s="739"/>
    </row>
    <row r="37" spans="2:11" ht="3.75" customHeight="1" x14ac:dyDescent="0.25">
      <c r="B37" s="503"/>
      <c r="C37" s="18"/>
      <c r="D37" s="74"/>
      <c r="E37" s="74"/>
      <c r="F37" s="74"/>
      <c r="G37" s="87"/>
      <c r="H37" s="48"/>
      <c r="I37" s="737"/>
      <c r="J37" s="738"/>
      <c r="K37" s="739"/>
    </row>
    <row r="38" spans="2:11" ht="16.5" thickBot="1" x14ac:dyDescent="0.3">
      <c r="B38" s="516" t="s">
        <v>94</v>
      </c>
      <c r="C38" s="603"/>
      <c r="D38" s="604"/>
      <c r="E38" s="604"/>
      <c r="F38" s="604"/>
      <c r="G38" s="605"/>
      <c r="H38" s="606">
        <f>H23+H8</f>
        <v>14844</v>
      </c>
      <c r="I38" s="740"/>
      <c r="J38" s="741"/>
      <c r="K38" s="742"/>
    </row>
    <row r="40" spans="2:11" ht="15.75" thickBot="1" x14ac:dyDescent="0.3"/>
    <row r="41" spans="2:11" ht="23.25" x14ac:dyDescent="0.35">
      <c r="B41" s="662" t="s">
        <v>373</v>
      </c>
      <c r="C41" s="663"/>
      <c r="D41" s="663"/>
      <c r="E41" s="663"/>
      <c r="F41" s="663"/>
      <c r="G41" s="663"/>
      <c r="H41" s="663"/>
      <c r="I41" s="663"/>
      <c r="J41" s="663"/>
      <c r="K41" s="664"/>
    </row>
    <row r="42" spans="2:11" ht="5.25" customHeight="1" x14ac:dyDescent="0.25">
      <c r="B42" s="2"/>
      <c r="C42" s="133"/>
      <c r="D42" s="133"/>
      <c r="E42" s="133"/>
      <c r="F42" s="133"/>
      <c r="G42" s="133"/>
      <c r="H42" s="133"/>
      <c r="I42" s="133"/>
      <c r="J42" s="133"/>
      <c r="K42" s="536"/>
    </row>
    <row r="43" spans="2:11" ht="15.75" x14ac:dyDescent="0.25">
      <c r="B43" s="597"/>
      <c r="C43" s="14" t="s">
        <v>22</v>
      </c>
      <c r="D43" s="15" t="s">
        <v>83</v>
      </c>
      <c r="E43" s="15" t="s">
        <v>95</v>
      </c>
      <c r="F43" s="15" t="s">
        <v>96</v>
      </c>
      <c r="G43" s="90" t="s">
        <v>97</v>
      </c>
      <c r="H43" s="37" t="s">
        <v>89</v>
      </c>
      <c r="I43" s="511" t="s">
        <v>341</v>
      </c>
      <c r="J43" s="37" t="s">
        <v>342</v>
      </c>
      <c r="K43" s="598" t="s">
        <v>343</v>
      </c>
    </row>
    <row r="44" spans="2:11" ht="4.5" customHeight="1" x14ac:dyDescent="0.25">
      <c r="B44" s="2"/>
      <c r="C44" s="133"/>
      <c r="D44" s="133"/>
      <c r="E44" s="133"/>
      <c r="F44" s="133"/>
      <c r="G44" s="133"/>
      <c r="H44" s="133"/>
      <c r="I44" s="133"/>
      <c r="J44" s="133"/>
      <c r="K44" s="536"/>
    </row>
    <row r="45" spans="2:11" ht="25.5" x14ac:dyDescent="0.25">
      <c r="B45" s="599" t="s">
        <v>115</v>
      </c>
      <c r="C45" s="120"/>
      <c r="D45" s="120"/>
      <c r="E45" s="120"/>
      <c r="F45" s="120"/>
      <c r="G45" s="121"/>
      <c r="H45" s="107">
        <f>SUM(H46:H47)</f>
        <v>900</v>
      </c>
      <c r="I45" s="514">
        <f t="shared" ref="I45:K45" si="2">SUM(I46:I47)</f>
        <v>300</v>
      </c>
      <c r="J45" s="107">
        <f t="shared" si="2"/>
        <v>300</v>
      </c>
      <c r="K45" s="600">
        <f t="shared" si="2"/>
        <v>300</v>
      </c>
    </row>
    <row r="46" spans="2:11" x14ac:dyDescent="0.25">
      <c r="B46" s="601" t="s">
        <v>116</v>
      </c>
      <c r="C46" s="507" t="s">
        <v>24</v>
      </c>
      <c r="D46" s="507">
        <v>12</v>
      </c>
      <c r="E46" s="507">
        <v>45</v>
      </c>
      <c r="F46" s="507"/>
      <c r="G46" s="508"/>
      <c r="H46" s="125">
        <f>D46*E46</f>
        <v>540</v>
      </c>
      <c r="I46" s="512">
        <f>H46/3</f>
        <v>180</v>
      </c>
      <c r="J46" s="509">
        <f>H46/3</f>
        <v>180</v>
      </c>
      <c r="K46" s="544">
        <f>H46/3</f>
        <v>180</v>
      </c>
    </row>
    <row r="47" spans="2:11" x14ac:dyDescent="0.25">
      <c r="B47" s="602" t="s">
        <v>117</v>
      </c>
      <c r="C47" s="88" t="s">
        <v>24</v>
      </c>
      <c r="D47" s="88">
        <v>12</v>
      </c>
      <c r="E47" s="88">
        <v>30</v>
      </c>
      <c r="F47" s="88"/>
      <c r="G47" s="124"/>
      <c r="H47" s="89">
        <f>D47*E47</f>
        <v>360</v>
      </c>
      <c r="I47" s="513">
        <f>H47/3</f>
        <v>120</v>
      </c>
      <c r="J47" s="510">
        <f>H47/3</f>
        <v>120</v>
      </c>
      <c r="K47" s="546">
        <f>H47/3</f>
        <v>120</v>
      </c>
    </row>
    <row r="48" spans="2:11" ht="4.5" customHeight="1" x14ac:dyDescent="0.25">
      <c r="B48" s="2"/>
      <c r="C48" s="133"/>
      <c r="D48" s="133"/>
      <c r="E48" s="133"/>
      <c r="F48" s="133"/>
      <c r="G48" s="133"/>
      <c r="H48" s="133"/>
      <c r="I48" s="133"/>
      <c r="J48" s="133"/>
      <c r="K48" s="536"/>
    </row>
    <row r="49" spans="2:11" ht="16.5" thickBot="1" x14ac:dyDescent="0.3">
      <c r="B49" s="516" t="s">
        <v>138</v>
      </c>
      <c r="C49" s="603"/>
      <c r="D49" s="604"/>
      <c r="E49" s="604"/>
      <c r="F49" s="604"/>
      <c r="G49" s="605"/>
      <c r="H49" s="606">
        <f>H45</f>
        <v>900</v>
      </c>
      <c r="I49" s="606">
        <f>I45</f>
        <v>300</v>
      </c>
      <c r="J49" s="606">
        <f t="shared" ref="J49:K49" si="3">J45</f>
        <v>300</v>
      </c>
      <c r="K49" s="607">
        <f t="shared" si="3"/>
        <v>300</v>
      </c>
    </row>
    <row r="51" spans="2:11" ht="15.75" thickBot="1" x14ac:dyDescent="0.3"/>
    <row r="52" spans="2:11" ht="23.25" x14ac:dyDescent="0.35">
      <c r="B52" s="690" t="s">
        <v>377</v>
      </c>
      <c r="C52" s="691"/>
      <c r="D52" s="691"/>
      <c r="E52" s="691"/>
      <c r="F52" s="691"/>
      <c r="G52" s="691"/>
      <c r="H52" s="691"/>
      <c r="I52" s="691"/>
      <c r="J52" s="691"/>
      <c r="K52" s="692"/>
    </row>
    <row r="53" spans="2:11" ht="4.5" customHeight="1" x14ac:dyDescent="0.25">
      <c r="B53" s="2"/>
      <c r="C53" s="133"/>
      <c r="D53" s="133"/>
      <c r="E53" s="133"/>
      <c r="F53" s="133"/>
      <c r="G53" s="133"/>
      <c r="H53" s="133"/>
      <c r="I53" s="133"/>
      <c r="J53" s="133"/>
      <c r="K53" s="580"/>
    </row>
    <row r="54" spans="2:11" x14ac:dyDescent="0.25">
      <c r="B54" s="665" t="s">
        <v>378</v>
      </c>
      <c r="C54" s="666"/>
      <c r="D54" s="666"/>
      <c r="E54" s="666"/>
      <c r="F54" s="666"/>
      <c r="G54" s="666"/>
      <c r="H54" s="666"/>
      <c r="I54" s="666"/>
      <c r="J54" s="666"/>
      <c r="K54" s="582">
        <f>H38</f>
        <v>14844</v>
      </c>
    </row>
    <row r="55" spans="2:11" ht="4.5" customHeight="1" x14ac:dyDescent="0.25">
      <c r="B55" s="2"/>
      <c r="C55" s="133"/>
      <c r="D55" s="133"/>
      <c r="E55" s="133"/>
      <c r="F55" s="133"/>
      <c r="G55" s="133"/>
      <c r="H55" s="133"/>
      <c r="I55" s="133"/>
      <c r="J55" s="133"/>
      <c r="K55" s="581"/>
    </row>
    <row r="56" spans="2:11" x14ac:dyDescent="0.25">
      <c r="B56" s="665" t="s">
        <v>379</v>
      </c>
      <c r="C56" s="666"/>
      <c r="D56" s="666"/>
      <c r="E56" s="666"/>
      <c r="F56" s="666"/>
      <c r="G56" s="666"/>
      <c r="H56" s="666"/>
      <c r="I56" s="666"/>
      <c r="J56" s="666"/>
      <c r="K56" s="582">
        <f>I49</f>
        <v>300</v>
      </c>
    </row>
    <row r="57" spans="2:11" ht="6" customHeight="1" x14ac:dyDescent="0.25">
      <c r="B57" s="547"/>
      <c r="C57" s="548"/>
      <c r="D57" s="548"/>
      <c r="E57" s="548"/>
      <c r="F57" s="548"/>
      <c r="G57" s="548"/>
      <c r="H57" s="548"/>
      <c r="I57" s="548"/>
      <c r="J57" s="548"/>
      <c r="K57" s="610"/>
    </row>
    <row r="58" spans="2:11" ht="19.5" thickBot="1" x14ac:dyDescent="0.35">
      <c r="B58" s="735" t="s">
        <v>262</v>
      </c>
      <c r="C58" s="736"/>
      <c r="D58" s="736"/>
      <c r="E58" s="736"/>
      <c r="F58" s="736"/>
      <c r="G58" s="736"/>
      <c r="H58" s="736"/>
      <c r="I58" s="736"/>
      <c r="J58" s="736"/>
      <c r="K58" s="611">
        <f>SUM(K54:K56)</f>
        <v>15144</v>
      </c>
    </row>
  </sheetData>
  <mergeCells count="40">
    <mergeCell ref="B4:K4"/>
    <mergeCell ref="B41:K41"/>
    <mergeCell ref="B2:K2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6:K16"/>
    <mergeCell ref="I17:K17"/>
    <mergeCell ref="I18:K18"/>
    <mergeCell ref="I19:K19"/>
    <mergeCell ref="I20:K20"/>
    <mergeCell ref="I11:K11"/>
    <mergeCell ref="I12:K12"/>
    <mergeCell ref="I13:K13"/>
    <mergeCell ref="I14:K14"/>
    <mergeCell ref="I15:K15"/>
    <mergeCell ref="I6:K6"/>
    <mergeCell ref="I7:K7"/>
    <mergeCell ref="I8:K8"/>
    <mergeCell ref="I9:K9"/>
    <mergeCell ref="I10:K10"/>
    <mergeCell ref="I31:K31"/>
    <mergeCell ref="I32:K32"/>
    <mergeCell ref="I33:K33"/>
    <mergeCell ref="I34:K34"/>
    <mergeCell ref="I35:K35"/>
    <mergeCell ref="B58:J58"/>
    <mergeCell ref="I36:K36"/>
    <mergeCell ref="I37:K37"/>
    <mergeCell ref="I38:K38"/>
    <mergeCell ref="B54:J54"/>
    <mergeCell ref="B56:J56"/>
    <mergeCell ref="B52:K5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L19"/>
  <sheetViews>
    <sheetView workbookViewId="0">
      <selection activeCell="J20" sqref="J20"/>
    </sheetView>
  </sheetViews>
  <sheetFormatPr defaultColWidth="11.42578125" defaultRowHeight="15" x14ac:dyDescent="0.25"/>
  <cols>
    <col min="1" max="1" width="1.7109375" customWidth="1"/>
    <col min="4" max="4" width="39.140625" bestFit="1" customWidth="1"/>
    <col min="7" max="9" width="14.28515625" customWidth="1"/>
  </cols>
  <sheetData>
    <row r="1" spans="2:12" ht="15.75" thickBot="1" x14ac:dyDescent="0.3"/>
    <row r="2" spans="2:12" ht="23.25" x14ac:dyDescent="0.25">
      <c r="B2" s="760" t="s">
        <v>382</v>
      </c>
      <c r="C2" s="761"/>
      <c r="D2" s="761"/>
      <c r="E2" s="761"/>
      <c r="F2" s="761"/>
      <c r="G2" s="761"/>
      <c r="H2" s="761"/>
      <c r="I2" s="761"/>
      <c r="J2" s="761"/>
      <c r="K2" s="761"/>
      <c r="L2" s="762"/>
    </row>
    <row r="3" spans="2:12" ht="8.25" customHeight="1" x14ac:dyDescent="0.25">
      <c r="B3" s="613"/>
      <c r="C3" s="93"/>
      <c r="D3" s="92"/>
      <c r="E3" s="91"/>
      <c r="F3" s="91"/>
      <c r="G3" s="91"/>
      <c r="H3" s="91"/>
      <c r="I3" s="91"/>
      <c r="J3" s="91"/>
      <c r="K3" s="91"/>
      <c r="L3" s="614"/>
    </row>
    <row r="4" spans="2:12" ht="15.75" customHeight="1" x14ac:dyDescent="0.25">
      <c r="B4" s="763" t="s">
        <v>383</v>
      </c>
      <c r="C4" s="764"/>
      <c r="D4" s="765"/>
      <c r="E4" s="772"/>
      <c r="F4" s="772"/>
      <c r="G4" s="772"/>
      <c r="H4" s="772"/>
      <c r="I4" s="772"/>
      <c r="J4" s="772"/>
      <c r="K4" s="772"/>
      <c r="L4" s="773"/>
    </row>
    <row r="5" spans="2:12" x14ac:dyDescent="0.25">
      <c r="B5" s="766"/>
      <c r="C5" s="767"/>
      <c r="D5" s="768"/>
      <c r="E5" s="94"/>
      <c r="F5" s="95"/>
      <c r="G5" s="95"/>
      <c r="H5" s="95"/>
      <c r="I5" s="95"/>
      <c r="J5" s="95"/>
      <c r="K5" s="95"/>
      <c r="L5" s="615"/>
    </row>
    <row r="6" spans="2:12" ht="25.5" x14ac:dyDescent="0.25">
      <c r="B6" s="769"/>
      <c r="C6" s="770"/>
      <c r="D6" s="771"/>
      <c r="E6" s="94" t="s">
        <v>118</v>
      </c>
      <c r="F6" s="95" t="s">
        <v>121</v>
      </c>
      <c r="G6" s="95" t="s">
        <v>122</v>
      </c>
      <c r="H6" s="95" t="s">
        <v>125</v>
      </c>
      <c r="I6" s="95" t="s">
        <v>168</v>
      </c>
      <c r="J6" s="95" t="s">
        <v>119</v>
      </c>
      <c r="K6" s="95"/>
      <c r="L6" s="615" t="s">
        <v>341</v>
      </c>
    </row>
    <row r="7" spans="2:12" ht="5.25" customHeight="1" x14ac:dyDescent="0.25">
      <c r="B7" s="616"/>
      <c r="C7" s="96"/>
      <c r="D7" s="1"/>
      <c r="E7" s="97"/>
      <c r="F7" s="98"/>
      <c r="G7" s="98"/>
      <c r="H7" s="98"/>
      <c r="I7" s="98"/>
      <c r="J7" s="98"/>
      <c r="K7" s="98"/>
      <c r="L7" s="617"/>
    </row>
    <row r="8" spans="2:12" x14ac:dyDescent="0.25">
      <c r="B8" s="757" t="s">
        <v>29</v>
      </c>
      <c r="C8" s="758"/>
      <c r="D8" s="759"/>
      <c r="E8" s="97">
        <v>1567</v>
      </c>
      <c r="F8" s="98" t="s">
        <v>123</v>
      </c>
      <c r="G8" s="98">
        <v>22</v>
      </c>
      <c r="H8" s="98"/>
      <c r="I8" s="98">
        <v>50</v>
      </c>
      <c r="J8" s="98">
        <f>SUM(E8:I8)*12</f>
        <v>19668</v>
      </c>
      <c r="K8" s="98"/>
      <c r="L8" s="617">
        <f>J8</f>
        <v>19668</v>
      </c>
    </row>
    <row r="9" spans="2:12" x14ac:dyDescent="0.25">
      <c r="B9" s="757" t="s">
        <v>169</v>
      </c>
      <c r="C9" s="758"/>
      <c r="D9" s="759"/>
      <c r="E9" s="97">
        <v>1567</v>
      </c>
      <c r="F9" s="98" t="s">
        <v>123</v>
      </c>
      <c r="G9" s="98">
        <v>22</v>
      </c>
      <c r="H9" s="98"/>
      <c r="I9" s="98">
        <v>180</v>
      </c>
      <c r="J9" s="98">
        <f t="shared" ref="J9:J11" si="0">SUM(E9:I9)*12</f>
        <v>21228</v>
      </c>
      <c r="K9" s="98"/>
      <c r="L9" s="617">
        <f>J9</f>
        <v>21228</v>
      </c>
    </row>
    <row r="10" spans="2:12" x14ac:dyDescent="0.25">
      <c r="B10" s="757" t="s">
        <v>140</v>
      </c>
      <c r="C10" s="758"/>
      <c r="D10" s="759"/>
      <c r="E10" s="99">
        <v>428</v>
      </c>
      <c r="F10" s="98" t="s">
        <v>123</v>
      </c>
      <c r="G10" s="105" t="s">
        <v>124</v>
      </c>
      <c r="H10" s="98"/>
      <c r="I10" s="98"/>
      <c r="J10" s="98">
        <f t="shared" si="0"/>
        <v>5136</v>
      </c>
      <c r="K10" s="626" t="s">
        <v>384</v>
      </c>
      <c r="L10" s="617">
        <f>J10/3</f>
        <v>1712</v>
      </c>
    </row>
    <row r="11" spans="2:12" x14ac:dyDescent="0.25">
      <c r="B11" s="757" t="s">
        <v>120</v>
      </c>
      <c r="C11" s="758"/>
      <c r="D11" s="759"/>
      <c r="E11" s="99">
        <v>285</v>
      </c>
      <c r="F11" s="98" t="s">
        <v>123</v>
      </c>
      <c r="G11" s="105" t="s">
        <v>124</v>
      </c>
      <c r="H11" s="105"/>
      <c r="I11" s="105">
        <v>180</v>
      </c>
      <c r="J11" s="98">
        <f t="shared" si="0"/>
        <v>5580</v>
      </c>
      <c r="K11" s="98"/>
      <c r="L11" s="617">
        <f>J11</f>
        <v>5580</v>
      </c>
    </row>
    <row r="12" spans="2:12" ht="5.25" customHeight="1" x14ac:dyDescent="0.25">
      <c r="B12" s="618"/>
      <c r="C12" s="100"/>
      <c r="D12" s="101"/>
      <c r="E12" s="102"/>
      <c r="F12" s="103"/>
      <c r="G12" s="103"/>
      <c r="H12" s="103"/>
      <c r="I12" s="103"/>
      <c r="J12" s="103"/>
      <c r="K12" s="103"/>
      <c r="L12" s="619"/>
    </row>
    <row r="13" spans="2:12" ht="16.5" thickBot="1" x14ac:dyDescent="0.3">
      <c r="B13" s="620"/>
      <c r="C13" s="621"/>
      <c r="D13" s="622" t="s">
        <v>381</v>
      </c>
      <c r="E13" s="623"/>
      <c r="F13" s="624"/>
      <c r="G13" s="624"/>
      <c r="H13" s="624"/>
      <c r="I13" s="624"/>
      <c r="J13" s="624">
        <f>SUM(J8:J12)</f>
        <v>51612</v>
      </c>
      <c r="K13" s="624"/>
      <c r="L13" s="625">
        <f>SUM(L8:L12)</f>
        <v>48188</v>
      </c>
    </row>
    <row r="14" spans="2:12" x14ac:dyDescent="0.25">
      <c r="B14" s="100"/>
      <c r="C14" s="100"/>
      <c r="D14" s="92"/>
      <c r="E14" s="104"/>
      <c r="F14" s="104"/>
      <c r="G14" s="104"/>
      <c r="H14" s="104"/>
      <c r="I14" s="104"/>
      <c r="J14" s="104"/>
      <c r="K14" s="104"/>
      <c r="L14" s="104"/>
    </row>
    <row r="15" spans="2:12" x14ac:dyDescent="0.25">
      <c r="B15" s="92"/>
      <c r="C15" s="92"/>
      <c r="D15" s="92"/>
      <c r="E15" s="91"/>
      <c r="F15" s="91"/>
      <c r="G15" s="91"/>
      <c r="H15" s="91"/>
      <c r="I15" s="91"/>
      <c r="J15" s="91"/>
      <c r="K15" s="91"/>
      <c r="L15" s="91"/>
    </row>
    <row r="16" spans="2:12" x14ac:dyDescent="0.25">
      <c r="B16" s="92"/>
      <c r="C16" s="92"/>
      <c r="D16" s="92"/>
      <c r="E16" s="91"/>
      <c r="F16" s="91"/>
      <c r="G16" s="91"/>
      <c r="H16" s="91"/>
      <c r="I16" s="91"/>
      <c r="J16" s="91"/>
      <c r="K16" s="91"/>
      <c r="L16" s="91"/>
    </row>
    <row r="17" spans="2:12" x14ac:dyDescent="0.25">
      <c r="B17" s="92"/>
      <c r="C17" s="92"/>
      <c r="D17" s="92"/>
      <c r="E17" s="91"/>
      <c r="F17" s="91"/>
      <c r="G17" s="91"/>
      <c r="H17" s="91"/>
      <c r="I17" s="91"/>
      <c r="J17" s="91"/>
      <c r="K17" s="91"/>
      <c r="L17" s="91"/>
    </row>
    <row r="18" spans="2:12" x14ac:dyDescent="0.25">
      <c r="B18" s="92"/>
      <c r="C18" s="92"/>
      <c r="D18" s="92"/>
      <c r="E18" s="91"/>
      <c r="F18" s="91"/>
      <c r="G18" s="91"/>
      <c r="H18" s="91"/>
      <c r="I18" s="91"/>
      <c r="J18" s="91"/>
      <c r="K18" s="91"/>
      <c r="L18" s="91"/>
    </row>
    <row r="19" spans="2:12" x14ac:dyDescent="0.25">
      <c r="B19" s="93"/>
      <c r="C19" s="93"/>
      <c r="D19" s="92"/>
      <c r="E19" s="91"/>
      <c r="F19" s="91"/>
      <c r="G19" s="91"/>
      <c r="H19" s="91"/>
      <c r="I19" s="91"/>
      <c r="J19" s="91"/>
      <c r="K19" s="91"/>
      <c r="L19" s="91"/>
    </row>
  </sheetData>
  <mergeCells count="7">
    <mergeCell ref="B11:D11"/>
    <mergeCell ref="B10:D10"/>
    <mergeCell ref="B8:D8"/>
    <mergeCell ref="B9:D9"/>
    <mergeCell ref="B2:L2"/>
    <mergeCell ref="B4:D6"/>
    <mergeCell ref="E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463"/>
  <sheetViews>
    <sheetView topLeftCell="A10" workbookViewId="0"/>
  </sheetViews>
  <sheetFormatPr defaultColWidth="11.42578125" defaultRowHeight="15" x14ac:dyDescent="0.25"/>
  <cols>
    <col min="1" max="1" width="1.7109375" style="133" customWidth="1"/>
    <col min="2" max="2" width="11.42578125" style="133"/>
    <col min="3" max="3" width="72.7109375" style="133" customWidth="1"/>
    <col min="4" max="5" width="12.5703125" style="137" customWidth="1"/>
    <col min="6" max="6" width="12.5703125" style="137" bestFit="1" customWidth="1"/>
    <col min="7" max="7" width="1.7109375" style="133" customWidth="1"/>
    <col min="8" max="16384" width="11.42578125" style="133"/>
  </cols>
  <sheetData>
    <row r="1" spans="2:10" s="256" customFormat="1" ht="15.75" thickBot="1" x14ac:dyDescent="0.3">
      <c r="C1" s="257"/>
      <c r="D1" s="258"/>
      <c r="E1" s="258"/>
      <c r="F1" s="259"/>
    </row>
    <row r="2" spans="2:10" ht="18.75" customHeight="1" x14ac:dyDescent="0.25">
      <c r="B2" s="260"/>
      <c r="C2" s="261" t="s">
        <v>193</v>
      </c>
      <c r="D2" s="262" t="s">
        <v>189</v>
      </c>
      <c r="E2" s="262" t="s">
        <v>190</v>
      </c>
      <c r="F2" s="263"/>
    </row>
    <row r="3" spans="2:10" ht="18.75" customHeight="1" x14ac:dyDescent="0.25">
      <c r="B3" s="264"/>
      <c r="C3" s="136"/>
      <c r="D3" s="145" t="s">
        <v>256</v>
      </c>
      <c r="E3" s="145" t="s">
        <v>257</v>
      </c>
      <c r="F3" s="274"/>
    </row>
    <row r="4" spans="2:10" x14ac:dyDescent="0.25">
      <c r="B4" s="264"/>
      <c r="C4" s="136"/>
      <c r="D4" s="140" t="e">
        <f>D6+D12+D17+D22+D27</f>
        <v>#REF!</v>
      </c>
      <c r="E4" s="140" t="e">
        <f>E6+E12+E17+E22+E27</f>
        <v>#REF!</v>
      </c>
      <c r="F4" s="265" t="e">
        <f>F6+F12+F17+F22+F27</f>
        <v>#REF!</v>
      </c>
    </row>
    <row r="5" spans="2:10" x14ac:dyDescent="0.25">
      <c r="B5" s="2"/>
      <c r="F5" s="266"/>
    </row>
    <row r="6" spans="2:10" ht="15.75" customHeight="1" x14ac:dyDescent="0.25">
      <c r="B6" s="267"/>
      <c r="C6" s="135" t="s">
        <v>255</v>
      </c>
      <c r="D6" s="138" t="e">
        <f>SUM(D7:D11)</f>
        <v>#REF!</v>
      </c>
      <c r="E6" s="138" t="e">
        <f>SUM(E7:E11)</f>
        <v>#REF!</v>
      </c>
      <c r="F6" s="268" t="e">
        <f>SUM(D6:E6)</f>
        <v>#REF!</v>
      </c>
    </row>
    <row r="7" spans="2:10" ht="15.75" customHeight="1" x14ac:dyDescent="0.25">
      <c r="B7" s="269"/>
      <c r="C7" s="134" t="s">
        <v>167</v>
      </c>
      <c r="D7" s="137">
        <f>BUDGET!E58</f>
        <v>160000</v>
      </c>
      <c r="E7" s="137">
        <f>BUDGET!F58</f>
        <v>245100</v>
      </c>
      <c r="F7" s="266">
        <f>BUDGET!G58</f>
        <v>405100</v>
      </c>
    </row>
    <row r="8" spans="2:10" ht="15.75" customHeight="1" x14ac:dyDescent="0.25">
      <c r="B8" s="269"/>
      <c r="C8" s="134" t="s">
        <v>166</v>
      </c>
      <c r="D8" s="137">
        <f>BUDGET!E59</f>
        <v>22500</v>
      </c>
      <c r="E8" s="137">
        <f>BUDGET!F59</f>
        <v>62400</v>
      </c>
      <c r="F8" s="266">
        <f>BUDGET!G59</f>
        <v>84900</v>
      </c>
    </row>
    <row r="9" spans="2:10" ht="15.75" customHeight="1" x14ac:dyDescent="0.25">
      <c r="B9" s="269"/>
      <c r="C9" s="134" t="s">
        <v>165</v>
      </c>
      <c r="D9" s="137">
        <f>BUDGET!E60</f>
        <v>25000</v>
      </c>
      <c r="E9" s="137">
        <f>BUDGET!F60</f>
        <v>56000</v>
      </c>
      <c r="F9" s="266">
        <f>BUDGET!G60</f>
        <v>81000</v>
      </c>
    </row>
    <row r="10" spans="2:10" ht="15.75" customHeight="1" x14ac:dyDescent="0.25">
      <c r="B10" s="269"/>
      <c r="C10" s="134" t="s">
        <v>164</v>
      </c>
      <c r="D10" s="137">
        <f>BUDGET!E61</f>
        <v>10000</v>
      </c>
      <c r="E10" s="137">
        <f>BUDGET!F61</f>
        <v>10000</v>
      </c>
      <c r="F10" s="266">
        <f>BUDGET!G61</f>
        <v>20000</v>
      </c>
      <c r="H10" s="189">
        <f>SUM(H12:H30)</f>
        <v>1391500</v>
      </c>
      <c r="I10" s="311">
        <f>1</f>
        <v>1</v>
      </c>
      <c r="J10" s="310">
        <f>SUM(J12:J27)</f>
        <v>1</v>
      </c>
    </row>
    <row r="11" spans="2:10" ht="15.75" customHeight="1" x14ac:dyDescent="0.25">
      <c r="B11" s="269"/>
      <c r="C11" s="134" t="s">
        <v>251</v>
      </c>
      <c r="D11" s="137" t="e">
        <f>BUDGET!#REF!</f>
        <v>#REF!</v>
      </c>
      <c r="E11" s="137" t="e">
        <f>BUDGET!#REF!</f>
        <v>#REF!</v>
      </c>
      <c r="F11" s="266" t="e">
        <f>BUDGET!#REF!</f>
        <v>#REF!</v>
      </c>
      <c r="J11" s="310"/>
    </row>
    <row r="12" spans="2:10" ht="33" customHeight="1" x14ac:dyDescent="0.25">
      <c r="B12" s="267" t="s">
        <v>170</v>
      </c>
      <c r="C12" s="135" t="s">
        <v>163</v>
      </c>
      <c r="D12" s="138">
        <f>BUDGET!E62</f>
        <v>40000</v>
      </c>
      <c r="E12" s="138">
        <f>BUDGET!F62</f>
        <v>35000</v>
      </c>
      <c r="F12" s="268">
        <f>SUM(D12:E12)</f>
        <v>75000</v>
      </c>
      <c r="H12" s="189">
        <f>F12</f>
        <v>75000</v>
      </c>
      <c r="I12" s="311">
        <f>H12/H10</f>
        <v>5.389867049946101E-2</v>
      </c>
      <c r="J12" s="310">
        <v>5.5E-2</v>
      </c>
    </row>
    <row r="13" spans="2:10" ht="15.75" customHeight="1" x14ac:dyDescent="0.25">
      <c r="B13" s="269" t="s">
        <v>174</v>
      </c>
      <c r="C13" s="134" t="s">
        <v>162</v>
      </c>
      <c r="D13" s="137">
        <f>BUDGET!E63</f>
        <v>6400</v>
      </c>
      <c r="E13" s="137">
        <f>BUDGET!F63</f>
        <v>5600</v>
      </c>
      <c r="F13" s="266">
        <f>BUDGET!G63</f>
        <v>12000</v>
      </c>
      <c r="J13" s="310"/>
    </row>
    <row r="14" spans="2:10" ht="15.75" customHeight="1" x14ac:dyDescent="0.25">
      <c r="B14" s="269" t="s">
        <v>175</v>
      </c>
      <c r="C14" s="134" t="s">
        <v>161</v>
      </c>
      <c r="D14" s="137">
        <f>BUDGET!E64</f>
        <v>1600</v>
      </c>
      <c r="E14" s="137">
        <f>BUDGET!F64</f>
        <v>1400</v>
      </c>
      <c r="F14" s="266">
        <f>BUDGET!G64</f>
        <v>3000</v>
      </c>
      <c r="J14" s="310"/>
    </row>
    <row r="15" spans="2:10" ht="15.75" customHeight="1" x14ac:dyDescent="0.25">
      <c r="B15" s="269" t="s">
        <v>176</v>
      </c>
      <c r="C15" s="134" t="s">
        <v>160</v>
      </c>
      <c r="D15" s="137">
        <f>BUDGET!E65</f>
        <v>24000</v>
      </c>
      <c r="E15" s="137">
        <f>BUDGET!F65</f>
        <v>21000</v>
      </c>
      <c r="F15" s="266">
        <f>BUDGET!G65</f>
        <v>45000</v>
      </c>
      <c r="J15" s="310"/>
    </row>
    <row r="16" spans="2:10" ht="15.75" customHeight="1" x14ac:dyDescent="0.25">
      <c r="B16" s="269" t="s">
        <v>177</v>
      </c>
      <c r="C16" s="134" t="s">
        <v>159</v>
      </c>
      <c r="D16" s="137">
        <f>BUDGET!E66</f>
        <v>8000</v>
      </c>
      <c r="E16" s="137">
        <f>BUDGET!F66</f>
        <v>7000</v>
      </c>
      <c r="F16" s="266">
        <f>BUDGET!G66</f>
        <v>15000</v>
      </c>
      <c r="J16" s="310"/>
    </row>
    <row r="17" spans="2:10" ht="33" customHeight="1" x14ac:dyDescent="0.25">
      <c r="B17" s="267" t="s">
        <v>171</v>
      </c>
      <c r="C17" s="135" t="s">
        <v>158</v>
      </c>
      <c r="D17" s="138">
        <f>BUDGET!E67</f>
        <v>350000</v>
      </c>
      <c r="E17" s="138">
        <f>BUDGET!F67</f>
        <v>280000</v>
      </c>
      <c r="F17" s="268">
        <f>SUM(D17:E17)</f>
        <v>630000</v>
      </c>
      <c r="G17" s="189"/>
      <c r="H17" s="189">
        <f>F17</f>
        <v>630000</v>
      </c>
      <c r="I17" s="311">
        <f>H17/H10</f>
        <v>0.45274883219547252</v>
      </c>
      <c r="J17" s="310">
        <v>0.45500000000000002</v>
      </c>
    </row>
    <row r="18" spans="2:10" ht="15.75" customHeight="1" x14ac:dyDescent="0.25">
      <c r="B18" s="269" t="s">
        <v>178</v>
      </c>
      <c r="C18" s="134" t="s">
        <v>157</v>
      </c>
      <c r="D18" s="137">
        <f>BUDGET!E68</f>
        <v>1250</v>
      </c>
      <c r="E18" s="137">
        <f>BUDGET!F68</f>
        <v>1000</v>
      </c>
      <c r="F18" s="266">
        <f>BUDGET!G68</f>
        <v>2250</v>
      </c>
      <c r="G18" s="189"/>
      <c r="H18" s="189"/>
      <c r="J18" s="310"/>
    </row>
    <row r="19" spans="2:10" ht="15.75" customHeight="1" x14ac:dyDescent="0.25">
      <c r="B19" s="269" t="s">
        <v>179</v>
      </c>
      <c r="C19" s="134" t="s">
        <v>156</v>
      </c>
      <c r="D19" s="137">
        <f>BUDGET!E69</f>
        <v>10000</v>
      </c>
      <c r="E19" s="137">
        <f>BUDGET!F69</f>
        <v>8000</v>
      </c>
      <c r="F19" s="266">
        <f>BUDGET!G69</f>
        <v>18000</v>
      </c>
      <c r="J19" s="310"/>
    </row>
    <row r="20" spans="2:10" ht="15.75" customHeight="1" x14ac:dyDescent="0.25">
      <c r="B20" s="269" t="s">
        <v>180</v>
      </c>
      <c r="C20" s="134" t="s">
        <v>152</v>
      </c>
      <c r="D20" s="137">
        <f>BUDGET!E70</f>
        <v>1250</v>
      </c>
      <c r="E20" s="137">
        <f>BUDGET!F70</f>
        <v>1000</v>
      </c>
      <c r="F20" s="266">
        <f>BUDGET!G70</f>
        <v>2250</v>
      </c>
      <c r="J20" s="310"/>
    </row>
    <row r="21" spans="2:10" ht="15.75" customHeight="1" x14ac:dyDescent="0.25">
      <c r="B21" s="269" t="s">
        <v>181</v>
      </c>
      <c r="C21" s="134" t="s">
        <v>151</v>
      </c>
      <c r="D21" s="137">
        <f>BUDGET!E71</f>
        <v>337500</v>
      </c>
      <c r="E21" s="137">
        <f>BUDGET!F71</f>
        <v>270000</v>
      </c>
      <c r="F21" s="266">
        <f>BUDGET!G71</f>
        <v>607500</v>
      </c>
      <c r="J21" s="310"/>
    </row>
    <row r="22" spans="2:10" ht="33" customHeight="1" x14ac:dyDescent="0.25">
      <c r="B22" s="267" t="s">
        <v>172</v>
      </c>
      <c r="C22" s="135" t="s">
        <v>155</v>
      </c>
      <c r="D22" s="138">
        <f>BUDGET!E72</f>
        <v>300000</v>
      </c>
      <c r="E22" s="138">
        <f>BUDGET!F72</f>
        <v>300000</v>
      </c>
      <c r="F22" s="268">
        <f>SUM(D22:E22)</f>
        <v>600000</v>
      </c>
      <c r="H22" s="189">
        <f>F22</f>
        <v>600000</v>
      </c>
      <c r="I22" s="311">
        <f>H22/H10</f>
        <v>0.43118936399568808</v>
      </c>
      <c r="J22" s="310">
        <v>0.43</v>
      </c>
    </row>
    <row r="23" spans="2:10" ht="15.75" customHeight="1" x14ac:dyDescent="0.25">
      <c r="B23" s="269" t="s">
        <v>182</v>
      </c>
      <c r="C23" s="134" t="s">
        <v>154</v>
      </c>
      <c r="D23" s="137">
        <f>BUDGET!E73</f>
        <v>1500</v>
      </c>
      <c r="E23" s="137">
        <f>BUDGET!F73</f>
        <v>1500</v>
      </c>
      <c r="F23" s="266">
        <f>BUDGET!G73</f>
        <v>3000</v>
      </c>
      <c r="J23" s="310"/>
    </row>
    <row r="24" spans="2:10" ht="15.75" customHeight="1" x14ac:dyDescent="0.25">
      <c r="B24" s="269" t="s">
        <v>183</v>
      </c>
      <c r="C24" s="134" t="s">
        <v>153</v>
      </c>
      <c r="D24" s="137">
        <f>BUDGET!E74</f>
        <v>27000</v>
      </c>
      <c r="E24" s="137">
        <f>BUDGET!F74</f>
        <v>27000</v>
      </c>
      <c r="F24" s="266">
        <f>BUDGET!G74</f>
        <v>54000</v>
      </c>
      <c r="J24" s="310"/>
    </row>
    <row r="25" spans="2:10" ht="15.75" customHeight="1" x14ac:dyDescent="0.25">
      <c r="B25" s="269" t="s">
        <v>184</v>
      </c>
      <c r="C25" s="134" t="s">
        <v>152</v>
      </c>
      <c r="D25" s="137">
        <f>BUDGET!E75</f>
        <v>1500</v>
      </c>
      <c r="E25" s="137">
        <f>BUDGET!F75</f>
        <v>1500</v>
      </c>
      <c r="F25" s="266">
        <f>BUDGET!G75</f>
        <v>3000</v>
      </c>
      <c r="J25" s="310"/>
    </row>
    <row r="26" spans="2:10" ht="15.75" customHeight="1" x14ac:dyDescent="0.25">
      <c r="B26" s="269" t="s">
        <v>185</v>
      </c>
      <c r="C26" s="134" t="s">
        <v>151</v>
      </c>
      <c r="D26" s="137">
        <f>BUDGET!E76</f>
        <v>270000</v>
      </c>
      <c r="E26" s="137">
        <f>BUDGET!F76</f>
        <v>270000</v>
      </c>
      <c r="F26" s="266">
        <f>BUDGET!G76</f>
        <v>540000</v>
      </c>
      <c r="J26" s="310"/>
    </row>
    <row r="27" spans="2:10" ht="33" customHeight="1" x14ac:dyDescent="0.25">
      <c r="B27" s="267" t="s">
        <v>173</v>
      </c>
      <c r="C27" s="135" t="s">
        <v>150</v>
      </c>
      <c r="D27" s="138">
        <f>BUDGET!E77</f>
        <v>46000</v>
      </c>
      <c r="E27" s="138">
        <f>BUDGET!F77</f>
        <v>40500</v>
      </c>
      <c r="F27" s="268">
        <f>SUM(D27:E27)</f>
        <v>86500</v>
      </c>
      <c r="H27" s="189">
        <f>F27</f>
        <v>86500</v>
      </c>
      <c r="I27" s="311">
        <f>H27/H10</f>
        <v>6.2163133309378366E-2</v>
      </c>
      <c r="J27" s="310">
        <v>0.06</v>
      </c>
    </row>
    <row r="28" spans="2:10" ht="15.75" customHeight="1" x14ac:dyDescent="0.25">
      <c r="B28" s="269" t="s">
        <v>186</v>
      </c>
      <c r="C28" s="134" t="s">
        <v>253</v>
      </c>
      <c r="D28" s="137">
        <f>BUDGET!E78</f>
        <v>18000</v>
      </c>
      <c r="E28" s="137">
        <f>BUDGET!F78</f>
        <v>16000</v>
      </c>
      <c r="F28" s="266">
        <f>BUDGET!G78</f>
        <v>34000</v>
      </c>
      <c r="J28" s="310"/>
    </row>
    <row r="29" spans="2:10" ht="15.75" customHeight="1" x14ac:dyDescent="0.25">
      <c r="B29" s="269" t="s">
        <v>187</v>
      </c>
      <c r="C29" s="254" t="s">
        <v>254</v>
      </c>
      <c r="D29" s="137">
        <f>BUDGET!E79</f>
        <v>4000</v>
      </c>
      <c r="E29" s="137">
        <f>BUDGET!F79</f>
        <v>3500</v>
      </c>
      <c r="F29" s="266">
        <f>BUDGET!G79</f>
        <v>7500</v>
      </c>
      <c r="J29" s="310"/>
    </row>
    <row r="30" spans="2:10" ht="15.75" customHeight="1" thickBot="1" x14ac:dyDescent="0.3">
      <c r="B30" s="270" t="s">
        <v>188</v>
      </c>
      <c r="C30" s="271" t="s">
        <v>149</v>
      </c>
      <c r="D30" s="272">
        <f>BUDGET!E80</f>
        <v>24000</v>
      </c>
      <c r="E30" s="272">
        <f>BUDGET!F80</f>
        <v>21000</v>
      </c>
      <c r="F30" s="273">
        <f>BUDGET!G80</f>
        <v>45000</v>
      </c>
      <c r="J30" s="310"/>
    </row>
    <row r="31" spans="2:10" ht="15.75" customHeight="1" x14ac:dyDescent="0.25"/>
    <row r="32" spans="2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43"/>
  <sheetViews>
    <sheetView topLeftCell="A7" workbookViewId="0">
      <selection activeCell="J38" sqref="J38"/>
    </sheetView>
  </sheetViews>
  <sheetFormatPr defaultColWidth="11.42578125" defaultRowHeight="12.75" x14ac:dyDescent="0.2"/>
  <cols>
    <col min="1" max="1" width="41.85546875" style="190" customWidth="1"/>
    <col min="2" max="9" width="11.42578125" style="190"/>
    <col min="10" max="10" width="10.5703125" style="190" customWidth="1"/>
    <col min="11" max="11" width="22.85546875" style="190" bestFit="1" customWidth="1"/>
    <col min="12" max="16384" width="11.42578125" style="190"/>
  </cols>
  <sheetData>
    <row r="2" spans="1:11" x14ac:dyDescent="0.2">
      <c r="A2" s="780" t="s">
        <v>196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1" ht="38.25" x14ac:dyDescent="0.2">
      <c r="A3" s="191" t="s">
        <v>197</v>
      </c>
      <c r="B3" s="191" t="s">
        <v>198</v>
      </c>
      <c r="C3" s="191" t="s">
        <v>199</v>
      </c>
      <c r="D3" s="191" t="s">
        <v>200</v>
      </c>
      <c r="E3" s="191" t="s">
        <v>199</v>
      </c>
      <c r="F3" s="192" t="s">
        <v>201</v>
      </c>
      <c r="G3" s="192" t="s">
        <v>202</v>
      </c>
      <c r="H3" s="192" t="s">
        <v>203</v>
      </c>
      <c r="I3" s="192" t="s">
        <v>204</v>
      </c>
      <c r="J3" s="192" t="s">
        <v>314</v>
      </c>
      <c r="K3" s="191" t="s">
        <v>205</v>
      </c>
    </row>
    <row r="4" spans="1:11" x14ac:dyDescent="0.2">
      <c r="A4" s="781" t="s">
        <v>206</v>
      </c>
      <c r="B4" s="782"/>
      <c r="C4" s="782"/>
      <c r="D4" s="782"/>
      <c r="E4" s="782"/>
      <c r="F4" s="782"/>
      <c r="G4" s="782"/>
      <c r="H4" s="782"/>
      <c r="I4" s="782"/>
      <c r="J4" s="782"/>
      <c r="K4" s="783"/>
    </row>
    <row r="5" spans="1:11" x14ac:dyDescent="0.2">
      <c r="A5" s="193" t="s">
        <v>207</v>
      </c>
      <c r="B5" s="193">
        <v>1</v>
      </c>
      <c r="C5" s="193" t="s">
        <v>208</v>
      </c>
      <c r="D5" s="194">
        <v>1200</v>
      </c>
      <c r="E5" s="195" t="s">
        <v>209</v>
      </c>
      <c r="F5" s="193">
        <v>12</v>
      </c>
      <c r="G5" s="194">
        <f>B5*D5*F5</f>
        <v>14400</v>
      </c>
      <c r="H5" s="196">
        <v>0.5</v>
      </c>
      <c r="I5" s="197">
        <f>G5*H5</f>
        <v>7200</v>
      </c>
      <c r="J5" s="197"/>
      <c r="K5" s="198"/>
    </row>
    <row r="6" spans="1:11" x14ac:dyDescent="0.2">
      <c r="A6" s="193" t="s">
        <v>210</v>
      </c>
      <c r="B6" s="193">
        <v>1</v>
      </c>
      <c r="C6" s="193" t="s">
        <v>208</v>
      </c>
      <c r="D6" s="194">
        <v>1000</v>
      </c>
      <c r="E6" s="195" t="s">
        <v>209</v>
      </c>
      <c r="F6" s="193">
        <v>12</v>
      </c>
      <c r="G6" s="194">
        <f t="shared" ref="G6:G14" si="0">B6*D6*F6</f>
        <v>12000</v>
      </c>
      <c r="H6" s="196">
        <v>0.33</v>
      </c>
      <c r="I6" s="197">
        <f t="shared" ref="I6:I14" si="1">G6*H6</f>
        <v>3960</v>
      </c>
      <c r="J6" s="197"/>
      <c r="K6" s="199"/>
    </row>
    <row r="7" spans="1:11" x14ac:dyDescent="0.2">
      <c r="A7" s="193" t="s">
        <v>211</v>
      </c>
      <c r="B7" s="193">
        <v>1</v>
      </c>
      <c r="C7" s="193" t="s">
        <v>208</v>
      </c>
      <c r="D7" s="200">
        <v>720</v>
      </c>
      <c r="E7" s="195" t="s">
        <v>209</v>
      </c>
      <c r="F7" s="193">
        <v>12</v>
      </c>
      <c r="G7" s="194">
        <f t="shared" si="0"/>
        <v>8640</v>
      </c>
      <c r="H7" s="196">
        <v>0.33</v>
      </c>
      <c r="I7" s="197">
        <f t="shared" si="1"/>
        <v>2851.2000000000003</v>
      </c>
      <c r="J7" s="197"/>
      <c r="K7" s="199"/>
    </row>
    <row r="8" spans="1:11" x14ac:dyDescent="0.2">
      <c r="A8" s="201" t="s">
        <v>212</v>
      </c>
      <c r="B8" s="201">
        <v>1</v>
      </c>
      <c r="C8" s="201" t="s">
        <v>208</v>
      </c>
      <c r="D8" s="202">
        <v>900</v>
      </c>
      <c r="E8" s="203" t="s">
        <v>209</v>
      </c>
      <c r="F8" s="201">
        <v>12</v>
      </c>
      <c r="G8" s="194">
        <f t="shared" si="0"/>
        <v>10800</v>
      </c>
      <c r="H8" s="204">
        <v>1</v>
      </c>
      <c r="I8" s="197">
        <f t="shared" si="1"/>
        <v>10800</v>
      </c>
      <c r="J8" s="197"/>
      <c r="K8" s="205"/>
    </row>
    <row r="9" spans="1:11" x14ac:dyDescent="0.2">
      <c r="A9" s="206" t="s">
        <v>213</v>
      </c>
      <c r="B9" s="193">
        <v>1</v>
      </c>
      <c r="C9" s="193" t="s">
        <v>208</v>
      </c>
      <c r="D9" s="194">
        <v>820</v>
      </c>
      <c r="E9" s="195" t="s">
        <v>209</v>
      </c>
      <c r="F9" s="193">
        <v>12</v>
      </c>
      <c r="G9" s="194">
        <f t="shared" si="0"/>
        <v>9840</v>
      </c>
      <c r="H9" s="204">
        <v>0</v>
      </c>
      <c r="I9" s="197">
        <f t="shared" si="1"/>
        <v>0</v>
      </c>
      <c r="J9" s="197"/>
      <c r="K9" s="199"/>
    </row>
    <row r="10" spans="1:11" x14ac:dyDescent="0.2">
      <c r="A10" s="193" t="s">
        <v>214</v>
      </c>
      <c r="B10" s="193">
        <v>1</v>
      </c>
      <c r="C10" s="193" t="s">
        <v>208</v>
      </c>
      <c r="D10" s="194">
        <v>350</v>
      </c>
      <c r="E10" s="195" t="s">
        <v>209</v>
      </c>
      <c r="F10" s="193">
        <v>12</v>
      </c>
      <c r="G10" s="194">
        <f t="shared" si="0"/>
        <v>4200</v>
      </c>
      <c r="H10" s="196">
        <v>0.33</v>
      </c>
      <c r="I10" s="197">
        <f t="shared" si="1"/>
        <v>1386</v>
      </c>
      <c r="J10" s="197"/>
      <c r="K10" s="199"/>
    </row>
    <row r="11" spans="1:11" x14ac:dyDescent="0.2">
      <c r="A11" s="193" t="s">
        <v>215</v>
      </c>
      <c r="B11" s="193">
        <v>1</v>
      </c>
      <c r="C11" s="193" t="s">
        <v>208</v>
      </c>
      <c r="D11" s="194">
        <v>265</v>
      </c>
      <c r="E11" s="195" t="s">
        <v>209</v>
      </c>
      <c r="F11" s="193">
        <v>12</v>
      </c>
      <c r="G11" s="194">
        <f t="shared" si="0"/>
        <v>3180</v>
      </c>
      <c r="H11" s="196">
        <v>0.33</v>
      </c>
      <c r="I11" s="197">
        <f t="shared" si="1"/>
        <v>1049.4000000000001</v>
      </c>
      <c r="J11" s="197"/>
      <c r="K11" s="199"/>
    </row>
    <row r="12" spans="1:11" x14ac:dyDescent="0.2">
      <c r="A12" s="193" t="s">
        <v>216</v>
      </c>
      <c r="B12" s="193">
        <v>1</v>
      </c>
      <c r="C12" s="193" t="s">
        <v>208</v>
      </c>
      <c r="D12" s="194">
        <v>350</v>
      </c>
      <c r="E12" s="195" t="s">
        <v>209</v>
      </c>
      <c r="F12" s="193">
        <v>12</v>
      </c>
      <c r="G12" s="194">
        <f t="shared" si="0"/>
        <v>4200</v>
      </c>
      <c r="H12" s="204">
        <v>0</v>
      </c>
      <c r="I12" s="197">
        <f t="shared" si="1"/>
        <v>0</v>
      </c>
      <c r="J12" s="197"/>
      <c r="K12" s="199"/>
    </row>
    <row r="13" spans="1:11" x14ac:dyDescent="0.2">
      <c r="A13" s="193" t="s">
        <v>217</v>
      </c>
      <c r="B13" s="193">
        <v>2</v>
      </c>
      <c r="C13" s="193" t="s">
        <v>208</v>
      </c>
      <c r="D13" s="194">
        <v>200</v>
      </c>
      <c r="E13" s="195" t="s">
        <v>209</v>
      </c>
      <c r="F13" s="193">
        <v>12</v>
      </c>
      <c r="G13" s="194">
        <f t="shared" si="0"/>
        <v>4800</v>
      </c>
      <c r="H13" s="196">
        <v>0.33</v>
      </c>
      <c r="I13" s="197">
        <f t="shared" si="1"/>
        <v>1584</v>
      </c>
      <c r="J13" s="197"/>
      <c r="K13" s="199"/>
    </row>
    <row r="14" spans="1:11" x14ac:dyDescent="0.2">
      <c r="A14" s="206" t="s">
        <v>218</v>
      </c>
      <c r="B14" s="193">
        <v>1</v>
      </c>
      <c r="C14" s="193" t="s">
        <v>219</v>
      </c>
      <c r="D14" s="200">
        <v>240.25</v>
      </c>
      <c r="E14" s="195" t="s">
        <v>209</v>
      </c>
      <c r="F14" s="193">
        <v>12</v>
      </c>
      <c r="G14" s="194">
        <f t="shared" si="0"/>
        <v>2883</v>
      </c>
      <c r="H14" s="196">
        <v>1</v>
      </c>
      <c r="I14" s="197">
        <f t="shared" si="1"/>
        <v>2883</v>
      </c>
      <c r="J14" s="197"/>
      <c r="K14" s="199"/>
    </row>
    <row r="15" spans="1:11" x14ac:dyDescent="0.2">
      <c r="A15" s="774" t="s">
        <v>220</v>
      </c>
      <c r="B15" s="775"/>
      <c r="C15" s="775"/>
      <c r="D15" s="775"/>
      <c r="E15" s="775"/>
      <c r="F15" s="776"/>
      <c r="G15" s="207">
        <f>SUM(G5:G14)</f>
        <v>74943</v>
      </c>
      <c r="H15" s="208"/>
      <c r="I15" s="207">
        <f>INT(SUM(I5:I14))+287</f>
        <v>32000</v>
      </c>
      <c r="J15" s="207">
        <f>I15*5</f>
        <v>160000</v>
      </c>
      <c r="K15" s="209" t="s">
        <v>315</v>
      </c>
    </row>
    <row r="16" spans="1:11" x14ac:dyDescent="0.2">
      <c r="A16" s="784" t="s">
        <v>166</v>
      </c>
      <c r="B16" s="785"/>
      <c r="C16" s="785"/>
      <c r="D16" s="785"/>
      <c r="E16" s="785"/>
      <c r="F16" s="785"/>
      <c r="G16" s="785"/>
      <c r="H16" s="785"/>
      <c r="I16" s="785"/>
      <c r="J16" s="785"/>
      <c r="K16" s="786"/>
    </row>
    <row r="17" spans="1:11" x14ac:dyDescent="0.2">
      <c r="A17" s="193" t="s">
        <v>221</v>
      </c>
      <c r="B17" s="193">
        <v>1</v>
      </c>
      <c r="C17" s="193" t="s">
        <v>219</v>
      </c>
      <c r="D17" s="194">
        <v>180</v>
      </c>
      <c r="E17" s="195" t="s">
        <v>209</v>
      </c>
      <c r="F17" s="193">
        <v>12</v>
      </c>
      <c r="G17" s="194">
        <f t="shared" ref="G17:G21" si="2">B17*D17*F17</f>
        <v>2160</v>
      </c>
      <c r="H17" s="196">
        <v>0.33</v>
      </c>
      <c r="I17" s="197">
        <f t="shared" ref="I17:I21" si="3">G17*H17</f>
        <v>712.80000000000007</v>
      </c>
      <c r="J17" s="197"/>
      <c r="K17" s="199"/>
    </row>
    <row r="18" spans="1:11" ht="25.5" x14ac:dyDescent="0.2">
      <c r="A18" s="206" t="s">
        <v>222</v>
      </c>
      <c r="B18" s="193">
        <v>1</v>
      </c>
      <c r="C18" s="193" t="s">
        <v>219</v>
      </c>
      <c r="D18" s="194">
        <v>250</v>
      </c>
      <c r="E18" s="195" t="s">
        <v>209</v>
      </c>
      <c r="F18" s="193">
        <v>12</v>
      </c>
      <c r="G18" s="194">
        <f t="shared" si="2"/>
        <v>3000</v>
      </c>
      <c r="H18" s="196">
        <v>0.33</v>
      </c>
      <c r="I18" s="197">
        <f t="shared" si="3"/>
        <v>990</v>
      </c>
      <c r="J18" s="197"/>
      <c r="K18" s="199"/>
    </row>
    <row r="19" spans="1:11" x14ac:dyDescent="0.2">
      <c r="A19" s="201" t="s">
        <v>250</v>
      </c>
      <c r="B19" s="201">
        <v>1</v>
      </c>
      <c r="C19" s="201" t="s">
        <v>219</v>
      </c>
      <c r="D19" s="194">
        <v>1000</v>
      </c>
      <c r="E19" s="203" t="s">
        <v>223</v>
      </c>
      <c r="F19" s="201">
        <v>4</v>
      </c>
      <c r="G19" s="194">
        <f t="shared" si="2"/>
        <v>4000</v>
      </c>
      <c r="H19" s="204">
        <v>0.33</v>
      </c>
      <c r="I19" s="197">
        <f t="shared" si="3"/>
        <v>1320</v>
      </c>
      <c r="J19" s="197"/>
      <c r="K19" s="210"/>
    </row>
    <row r="20" spans="1:11" x14ac:dyDescent="0.2">
      <c r="A20" s="193" t="s">
        <v>224</v>
      </c>
      <c r="B20" s="193">
        <v>1</v>
      </c>
      <c r="C20" s="193" t="s">
        <v>219</v>
      </c>
      <c r="D20" s="194">
        <v>60</v>
      </c>
      <c r="E20" s="195" t="s">
        <v>209</v>
      </c>
      <c r="F20" s="193">
        <v>12</v>
      </c>
      <c r="G20" s="194">
        <f t="shared" si="2"/>
        <v>720</v>
      </c>
      <c r="H20" s="196">
        <v>0.33</v>
      </c>
      <c r="I20" s="197">
        <f t="shared" si="3"/>
        <v>237.60000000000002</v>
      </c>
      <c r="J20" s="197"/>
      <c r="K20" s="199"/>
    </row>
    <row r="21" spans="1:11" x14ac:dyDescent="0.2">
      <c r="A21" s="211" t="s">
        <v>225</v>
      </c>
      <c r="B21" s="201">
        <v>1</v>
      </c>
      <c r="C21" s="201" t="s">
        <v>219</v>
      </c>
      <c r="D21" s="194">
        <v>2000</v>
      </c>
      <c r="E21" s="203" t="s">
        <v>223</v>
      </c>
      <c r="F21" s="201">
        <v>4</v>
      </c>
      <c r="G21" s="194">
        <f t="shared" si="2"/>
        <v>8000</v>
      </c>
      <c r="H21" s="196">
        <v>0.15</v>
      </c>
      <c r="I21" s="197">
        <f t="shared" si="3"/>
        <v>1200</v>
      </c>
      <c r="J21" s="197"/>
      <c r="K21" s="212"/>
    </row>
    <row r="22" spans="1:11" x14ac:dyDescent="0.2">
      <c r="A22" s="774" t="s">
        <v>226</v>
      </c>
      <c r="B22" s="775"/>
      <c r="C22" s="775"/>
      <c r="D22" s="775"/>
      <c r="E22" s="775"/>
      <c r="F22" s="776"/>
      <c r="G22" s="207">
        <f>SUM(G17:G21)</f>
        <v>17880</v>
      </c>
      <c r="H22" s="208"/>
      <c r="I22" s="207">
        <f>INT(SUM(I17:I21))+40</f>
        <v>4500</v>
      </c>
      <c r="J22" s="207">
        <f>I22*5</f>
        <v>22500</v>
      </c>
      <c r="K22" s="209" t="s">
        <v>315</v>
      </c>
    </row>
    <row r="23" spans="1:11" x14ac:dyDescent="0.2">
      <c r="A23" s="213" t="s">
        <v>227</v>
      </c>
      <c r="B23" s="214"/>
      <c r="C23" s="214"/>
      <c r="D23" s="215"/>
      <c r="E23" s="216"/>
      <c r="F23" s="214"/>
      <c r="G23" s="216"/>
      <c r="H23" s="217"/>
      <c r="I23" s="216"/>
      <c r="J23" s="216"/>
      <c r="K23" s="218"/>
    </row>
    <row r="24" spans="1:11" x14ac:dyDescent="0.2">
      <c r="A24" s="193" t="s">
        <v>228</v>
      </c>
      <c r="B24" s="219">
        <v>200</v>
      </c>
      <c r="C24" s="193" t="s">
        <v>229</v>
      </c>
      <c r="D24" s="220">
        <v>1.2</v>
      </c>
      <c r="E24" s="195" t="s">
        <v>209</v>
      </c>
      <c r="F24" s="193">
        <v>12</v>
      </c>
      <c r="G24" s="194">
        <f t="shared" ref="G24:G26" si="4">B24*D24*F24</f>
        <v>2880</v>
      </c>
      <c r="H24" s="196">
        <v>1</v>
      </c>
      <c r="I24" s="197">
        <f t="shared" ref="I24:I26" si="5">G24*H24</f>
        <v>2880</v>
      </c>
      <c r="J24" s="197"/>
      <c r="K24" s="199" t="s">
        <v>230</v>
      </c>
    </row>
    <row r="25" spans="1:11" x14ac:dyDescent="0.2">
      <c r="A25" s="193" t="s">
        <v>231</v>
      </c>
      <c r="B25" s="219">
        <v>2</v>
      </c>
      <c r="C25" s="193" t="s">
        <v>232</v>
      </c>
      <c r="D25" s="200">
        <v>250</v>
      </c>
      <c r="E25" s="195" t="s">
        <v>233</v>
      </c>
      <c r="F25" s="193">
        <v>1</v>
      </c>
      <c r="G25" s="194">
        <f t="shared" si="4"/>
        <v>500</v>
      </c>
      <c r="H25" s="196">
        <v>1</v>
      </c>
      <c r="I25" s="197">
        <f t="shared" si="5"/>
        <v>500</v>
      </c>
      <c r="J25" s="197"/>
      <c r="K25" s="199" t="s">
        <v>234</v>
      </c>
    </row>
    <row r="26" spans="1:11" x14ac:dyDescent="0.2">
      <c r="A26" s="193" t="s">
        <v>235</v>
      </c>
      <c r="B26" s="193">
        <v>2</v>
      </c>
      <c r="C26" s="193" t="s">
        <v>236</v>
      </c>
      <c r="D26" s="200">
        <v>50</v>
      </c>
      <c r="E26" s="195" t="s">
        <v>237</v>
      </c>
      <c r="F26" s="193">
        <v>12</v>
      </c>
      <c r="G26" s="194">
        <f t="shared" si="4"/>
        <v>1200</v>
      </c>
      <c r="H26" s="196">
        <v>1</v>
      </c>
      <c r="I26" s="197">
        <f t="shared" si="5"/>
        <v>1200</v>
      </c>
      <c r="J26" s="197"/>
      <c r="K26" s="199" t="s">
        <v>234</v>
      </c>
    </row>
    <row r="27" spans="1:11" x14ac:dyDescent="0.2">
      <c r="A27" s="193"/>
      <c r="B27" s="193"/>
      <c r="C27" s="193"/>
      <c r="D27" s="221"/>
      <c r="E27" s="195"/>
      <c r="F27" s="193"/>
      <c r="G27" s="195">
        <v>0</v>
      </c>
      <c r="H27" s="222"/>
      <c r="I27" s="223"/>
      <c r="J27" s="223"/>
      <c r="K27" s="198"/>
    </row>
    <row r="28" spans="1:11" x14ac:dyDescent="0.2">
      <c r="A28" s="774" t="s">
        <v>238</v>
      </c>
      <c r="B28" s="775"/>
      <c r="C28" s="775"/>
      <c r="D28" s="775"/>
      <c r="E28" s="775"/>
      <c r="F28" s="776"/>
      <c r="G28" s="207">
        <v>4580</v>
      </c>
      <c r="H28" s="208"/>
      <c r="I28" s="207">
        <f>INT(SUM(I24:I27))+420</f>
        <v>5000</v>
      </c>
      <c r="J28" s="207">
        <f>I28*5</f>
        <v>25000</v>
      </c>
      <c r="K28" s="209" t="s">
        <v>316</v>
      </c>
    </row>
    <row r="29" spans="1:11" x14ac:dyDescent="0.2">
      <c r="A29" s="224"/>
      <c r="B29" s="225"/>
      <c r="C29" s="225"/>
      <c r="D29" s="226"/>
      <c r="E29" s="227"/>
      <c r="F29" s="225"/>
      <c r="G29" s="227"/>
      <c r="H29" s="228"/>
      <c r="I29" s="229"/>
      <c r="J29" s="229"/>
      <c r="K29" s="230"/>
    </row>
    <row r="30" spans="1:11" x14ac:dyDescent="0.2">
      <c r="A30" s="777" t="s">
        <v>239</v>
      </c>
      <c r="B30" s="778"/>
      <c r="C30" s="778"/>
      <c r="D30" s="778"/>
      <c r="E30" s="778"/>
      <c r="F30" s="779"/>
      <c r="G30" s="231"/>
      <c r="H30" s="232"/>
      <c r="I30" s="233">
        <f>I15+I22+I28</f>
        <v>41500</v>
      </c>
      <c r="J30" s="233"/>
      <c r="K30" s="234"/>
    </row>
    <row r="31" spans="1:11" x14ac:dyDescent="0.2">
      <c r="A31" s="235"/>
      <c r="B31" s="235"/>
      <c r="C31" s="235"/>
      <c r="D31" s="235"/>
      <c r="E31" s="235"/>
      <c r="F31" s="235"/>
      <c r="G31" s="236"/>
      <c r="H31" s="237"/>
      <c r="I31" s="238"/>
      <c r="J31" s="238"/>
      <c r="K31" s="239"/>
    </row>
    <row r="32" spans="1:11" x14ac:dyDescent="0.2">
      <c r="A32" s="780" t="s">
        <v>240</v>
      </c>
      <c r="B32" s="780"/>
      <c r="C32" s="780"/>
      <c r="D32" s="780"/>
      <c r="E32" s="780"/>
      <c r="F32" s="780"/>
      <c r="G32" s="780"/>
      <c r="H32" s="780"/>
      <c r="I32" s="780"/>
      <c r="J32" s="780"/>
      <c r="K32" s="780"/>
    </row>
    <row r="33" spans="1:11" x14ac:dyDescent="0.2">
      <c r="A33" s="787" t="s">
        <v>164</v>
      </c>
      <c r="B33" s="788"/>
      <c r="C33" s="788"/>
      <c r="D33" s="788"/>
      <c r="E33" s="788"/>
      <c r="F33" s="788"/>
      <c r="G33" s="789"/>
      <c r="H33" s="240"/>
      <c r="I33" s="241"/>
      <c r="J33" s="255"/>
      <c r="K33" s="198"/>
    </row>
    <row r="34" spans="1:11" x14ac:dyDescent="0.2">
      <c r="A34" s="193" t="s">
        <v>241</v>
      </c>
      <c r="B34" s="193">
        <v>1</v>
      </c>
      <c r="C34" s="193" t="s">
        <v>241</v>
      </c>
      <c r="D34" s="200">
        <v>3500</v>
      </c>
      <c r="E34" s="195" t="s">
        <v>241</v>
      </c>
      <c r="F34" s="219">
        <v>2</v>
      </c>
      <c r="G34" s="194">
        <f t="shared" ref="G34:G37" si="6">B34*D34*F34</f>
        <v>7000</v>
      </c>
      <c r="H34" s="196">
        <v>1</v>
      </c>
      <c r="I34" s="197">
        <f t="shared" ref="I34:I37" si="7">G34*H34</f>
        <v>7000</v>
      </c>
      <c r="J34" s="197"/>
      <c r="K34" s="199" t="s">
        <v>242</v>
      </c>
    </row>
    <row r="35" spans="1:11" x14ac:dyDescent="0.2">
      <c r="A35" s="193" t="s">
        <v>243</v>
      </c>
      <c r="B35" s="193">
        <v>1</v>
      </c>
      <c r="C35" s="193" t="s">
        <v>244</v>
      </c>
      <c r="D35" s="242">
        <v>750</v>
      </c>
      <c r="E35" s="195" t="s">
        <v>244</v>
      </c>
      <c r="F35" s="219">
        <v>2</v>
      </c>
      <c r="G35" s="194">
        <f t="shared" si="6"/>
        <v>1500</v>
      </c>
      <c r="H35" s="196">
        <v>1</v>
      </c>
      <c r="I35" s="197">
        <f t="shared" si="7"/>
        <v>1500</v>
      </c>
      <c r="J35" s="197"/>
      <c r="K35" s="199"/>
    </row>
    <row r="36" spans="1:11" x14ac:dyDescent="0.2">
      <c r="A36" s="219" t="s">
        <v>135</v>
      </c>
      <c r="B36" s="219">
        <v>1</v>
      </c>
      <c r="C36" s="219" t="s">
        <v>135</v>
      </c>
      <c r="D36" s="200">
        <v>200</v>
      </c>
      <c r="E36" s="243" t="s">
        <v>135</v>
      </c>
      <c r="F36" s="219">
        <v>1</v>
      </c>
      <c r="G36" s="194">
        <f t="shared" si="6"/>
        <v>200</v>
      </c>
      <c r="H36" s="244">
        <v>1</v>
      </c>
      <c r="I36" s="197">
        <f t="shared" si="7"/>
        <v>200</v>
      </c>
      <c r="J36" s="197"/>
      <c r="K36" s="245"/>
    </row>
    <row r="37" spans="1:11" x14ac:dyDescent="0.2">
      <c r="A37" s="193" t="s">
        <v>245</v>
      </c>
      <c r="B37" s="193">
        <v>1</v>
      </c>
      <c r="C37" s="193" t="s">
        <v>245</v>
      </c>
      <c r="D37" s="200">
        <v>250</v>
      </c>
      <c r="E37" s="195" t="s">
        <v>245</v>
      </c>
      <c r="F37" s="246">
        <v>1</v>
      </c>
      <c r="G37" s="194">
        <f t="shared" si="6"/>
        <v>250</v>
      </c>
      <c r="H37" s="196">
        <v>1</v>
      </c>
      <c r="I37" s="197">
        <f t="shared" si="7"/>
        <v>250</v>
      </c>
      <c r="J37" s="197"/>
      <c r="K37" s="199"/>
    </row>
    <row r="38" spans="1:11" x14ac:dyDescent="0.2">
      <c r="A38" s="774" t="s">
        <v>246</v>
      </c>
      <c r="B38" s="775"/>
      <c r="C38" s="775"/>
      <c r="D38" s="775"/>
      <c r="E38" s="775"/>
      <c r="F38" s="776"/>
      <c r="G38" s="207">
        <f>SUM(G34:G37)</f>
        <v>8950</v>
      </c>
      <c r="H38" s="208"/>
      <c r="I38" s="207">
        <v>8950</v>
      </c>
      <c r="J38" s="207">
        <f>I38+1050</f>
        <v>10000</v>
      </c>
      <c r="K38" s="209" t="s">
        <v>317</v>
      </c>
    </row>
    <row r="39" spans="1:11" x14ac:dyDescent="0.2">
      <c r="A39" s="224"/>
      <c r="B39" s="225"/>
      <c r="C39" s="225"/>
      <c r="D39" s="226"/>
      <c r="E39" s="227"/>
      <c r="F39" s="225"/>
      <c r="G39" s="227"/>
      <c r="H39" s="228"/>
      <c r="I39" s="229"/>
      <c r="J39" s="229"/>
      <c r="K39" s="230"/>
    </row>
    <row r="40" spans="1:11" x14ac:dyDescent="0.2">
      <c r="A40" s="777" t="s">
        <v>247</v>
      </c>
      <c r="B40" s="778"/>
      <c r="C40" s="778"/>
      <c r="D40" s="778"/>
      <c r="E40" s="778"/>
      <c r="F40" s="779"/>
      <c r="G40" s="231"/>
      <c r="H40" s="232"/>
      <c r="I40" s="233">
        <f>I38</f>
        <v>8950</v>
      </c>
      <c r="J40" s="233"/>
      <c r="K40" s="234"/>
    </row>
    <row r="41" spans="1:11" x14ac:dyDescent="0.2">
      <c r="A41" s="790"/>
      <c r="B41" s="790"/>
      <c r="C41" s="790"/>
      <c r="D41" s="790"/>
      <c r="E41" s="790"/>
      <c r="F41" s="790"/>
      <c r="G41" s="790"/>
      <c r="H41" s="790"/>
      <c r="I41" s="790"/>
      <c r="J41" s="790"/>
      <c r="K41" s="790"/>
    </row>
    <row r="42" spans="1:11" x14ac:dyDescent="0.2">
      <c r="A42" s="791" t="s">
        <v>248</v>
      </c>
      <c r="B42" s="792"/>
      <c r="C42" s="792"/>
      <c r="D42" s="792"/>
      <c r="E42" s="792"/>
      <c r="F42" s="793"/>
      <c r="G42" s="247"/>
      <c r="H42" s="248"/>
      <c r="I42" s="249">
        <f>(I30*5)+I40</f>
        <v>216450</v>
      </c>
      <c r="J42" s="249"/>
      <c r="K42" s="250"/>
    </row>
    <row r="43" spans="1:11" x14ac:dyDescent="0.2">
      <c r="A43" s="251" t="s">
        <v>249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</row>
  </sheetData>
  <mergeCells count="13">
    <mergeCell ref="A33:G33"/>
    <mergeCell ref="A38:F38"/>
    <mergeCell ref="A40:F40"/>
    <mergeCell ref="A41:K41"/>
    <mergeCell ref="A42:F42"/>
    <mergeCell ref="A28:F28"/>
    <mergeCell ref="A30:F30"/>
    <mergeCell ref="A32:K32"/>
    <mergeCell ref="A2:K2"/>
    <mergeCell ref="A4:K4"/>
    <mergeCell ref="A15:F15"/>
    <mergeCell ref="A16:K16"/>
    <mergeCell ref="A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</vt:lpstr>
      <vt:lpstr>Total IDP</vt:lpstr>
      <vt:lpstr>IDP Invest</vt:lpstr>
      <vt:lpstr>IDP Office </vt:lpstr>
      <vt:lpstr>IDP Expat</vt:lpstr>
      <vt:lpstr>IDP Vehicles</vt:lpstr>
      <vt:lpstr>IDP personal</vt:lpstr>
      <vt:lpstr>Operat°</vt:lpstr>
      <vt:lpstr>LCDO</vt:lpstr>
      <vt:lpstr>OIKOS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Content Junior - D1.1</cp:lastModifiedBy>
  <dcterms:created xsi:type="dcterms:W3CDTF">2014-06-15T05:18:00Z</dcterms:created>
  <dcterms:modified xsi:type="dcterms:W3CDTF">2014-11-26T09:52:06Z</dcterms:modified>
</cp:coreProperties>
</file>