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 Thomas.DESKTOP-1L2A1IC\Documents\Projects\Belgian CfP Burundi 2017- 2020\Reporting Final 2021\V-OUT 5 Oct 2021\"/>
    </mc:Choice>
  </mc:AlternateContent>
  <xr:revisionPtr revIDLastSave="0" documentId="13_ncr:1_{2E1883A2-369C-4B24-890E-8D45622011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nal Report 2019-2021" sheetId="1" r:id="rId1"/>
    <sheet name="Overview &amp; Balance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0" i="1" l="1"/>
  <c r="C2" i="7" l="1"/>
  <c r="E25" i="7" l="1"/>
  <c r="E15" i="7"/>
  <c r="E17" i="7" s="1"/>
  <c r="E9" i="7"/>
  <c r="E11" i="7" s="1"/>
  <c r="E20" i="7" l="1"/>
  <c r="E27" i="7" s="1"/>
  <c r="S97" i="1"/>
  <c r="C3" i="7"/>
  <c r="E2" i="7"/>
  <c r="D4" i="7"/>
  <c r="R95" i="1"/>
  <c r="Q81" i="1"/>
  <c r="R94" i="1"/>
  <c r="E3" i="7" l="1"/>
  <c r="E4" i="7" s="1"/>
  <c r="C4" i="7"/>
  <c r="O81" i="1"/>
  <c r="O56" i="1"/>
  <c r="P52" i="1" l="1"/>
  <c r="P71" i="1"/>
  <c r="P72" i="1"/>
  <c r="R72" i="1" s="1"/>
  <c r="P85" i="1" l="1"/>
  <c r="O85" i="1"/>
  <c r="Q57" i="1"/>
  <c r="P57" i="1"/>
  <c r="O35" i="1"/>
  <c r="O18" i="1"/>
  <c r="Q35" i="1"/>
  <c r="P35" i="1"/>
  <c r="R23" i="1"/>
  <c r="R24" i="1"/>
  <c r="R25" i="1"/>
  <c r="R26" i="1"/>
  <c r="R27" i="1"/>
  <c r="Q85" i="1"/>
  <c r="R70" i="1"/>
  <c r="R69" i="1"/>
  <c r="R68" i="1"/>
  <c r="R71" i="1"/>
  <c r="R73" i="1"/>
  <c r="S73" i="1" s="1"/>
  <c r="R74" i="1"/>
  <c r="R75" i="1"/>
  <c r="R76" i="1"/>
  <c r="R77" i="1"/>
  <c r="R78" i="1"/>
  <c r="R79" i="1"/>
  <c r="S79" i="1" s="1"/>
  <c r="R80" i="1"/>
  <c r="R81" i="1"/>
  <c r="R82" i="1"/>
  <c r="R83" i="1"/>
  <c r="R67" i="1"/>
  <c r="Q48" i="1"/>
  <c r="P48" i="1"/>
  <c r="O48" i="1"/>
  <c r="R52" i="1"/>
  <c r="R53" i="1"/>
  <c r="R55" i="1"/>
  <c r="R56" i="1"/>
  <c r="R51" i="1"/>
  <c r="R47" i="1"/>
  <c r="R46" i="1"/>
  <c r="R45" i="1"/>
  <c r="R44" i="1"/>
  <c r="R43" i="1"/>
  <c r="R42" i="1"/>
  <c r="R41" i="1"/>
  <c r="R40" i="1"/>
  <c r="R39" i="1"/>
  <c r="R38" i="1"/>
  <c r="R34" i="1"/>
  <c r="R33" i="1"/>
  <c r="R32" i="1"/>
  <c r="R31" i="1"/>
  <c r="R29" i="1"/>
  <c r="R28" i="1"/>
  <c r="R22" i="1"/>
  <c r="R21" i="1"/>
  <c r="R13" i="1"/>
  <c r="P18" i="1"/>
  <c r="Q18" i="1"/>
  <c r="R14" i="1"/>
  <c r="R15" i="1"/>
  <c r="R16" i="1"/>
  <c r="R17" i="1"/>
  <c r="R12" i="1"/>
  <c r="R35" i="1" l="1"/>
  <c r="Q59" i="1"/>
  <c r="Q87" i="1" s="1"/>
  <c r="Q89" i="1" s="1"/>
  <c r="P59" i="1"/>
  <c r="P87" i="1" s="1"/>
  <c r="P89" i="1" s="1"/>
  <c r="P91" i="1" s="1"/>
  <c r="R96" i="1"/>
  <c r="R48" i="1"/>
  <c r="R85" i="1"/>
  <c r="R18" i="1"/>
  <c r="O57" i="1" l="1"/>
  <c r="O59" i="1" s="1"/>
  <c r="O87" i="1" s="1"/>
  <c r="O89" i="1" s="1"/>
  <c r="O91" i="1" s="1"/>
  <c r="R54" i="1"/>
  <c r="R57" i="1" s="1"/>
  <c r="Q91" i="1"/>
  <c r="R59" i="1" l="1"/>
  <c r="R87" i="1" s="1"/>
  <c r="N95" i="1"/>
  <c r="H95" i="1"/>
  <c r="S95" i="1" s="1"/>
  <c r="N94" i="1"/>
  <c r="H94" i="1"/>
  <c r="S94" i="1" s="1"/>
  <c r="N83" i="1"/>
  <c r="H83" i="1"/>
  <c r="N82" i="1"/>
  <c r="H82" i="1"/>
  <c r="N81" i="1"/>
  <c r="H81" i="1"/>
  <c r="N80" i="1"/>
  <c r="H80" i="1"/>
  <c r="N78" i="1"/>
  <c r="H78" i="1"/>
  <c r="N77" i="1"/>
  <c r="H77" i="1"/>
  <c r="N76" i="1"/>
  <c r="H76" i="1"/>
  <c r="N75" i="1"/>
  <c r="H75" i="1"/>
  <c r="N74" i="1"/>
  <c r="H74" i="1"/>
  <c r="N72" i="1"/>
  <c r="H72" i="1"/>
  <c r="N71" i="1"/>
  <c r="H71" i="1"/>
  <c r="N70" i="1"/>
  <c r="H70" i="1"/>
  <c r="N69" i="1"/>
  <c r="H69" i="1"/>
  <c r="N68" i="1"/>
  <c r="H68" i="1"/>
  <c r="N67" i="1"/>
  <c r="H67" i="1"/>
  <c r="N62" i="1"/>
  <c r="N63" i="1" s="1"/>
  <c r="H62" i="1"/>
  <c r="N56" i="1"/>
  <c r="H56" i="1"/>
  <c r="N55" i="1"/>
  <c r="H55" i="1"/>
  <c r="N54" i="1"/>
  <c r="H54" i="1"/>
  <c r="N53" i="1"/>
  <c r="H53" i="1"/>
  <c r="N52" i="1"/>
  <c r="H52" i="1"/>
  <c r="L51" i="1"/>
  <c r="N51" i="1" s="1"/>
  <c r="F51" i="1"/>
  <c r="H51" i="1" s="1"/>
  <c r="N47" i="1"/>
  <c r="H47" i="1"/>
  <c r="N46" i="1"/>
  <c r="H46" i="1"/>
  <c r="N45" i="1"/>
  <c r="H45" i="1"/>
  <c r="N44" i="1"/>
  <c r="H44" i="1"/>
  <c r="N43" i="1"/>
  <c r="H43" i="1"/>
  <c r="N42" i="1"/>
  <c r="H42" i="1"/>
  <c r="N41" i="1"/>
  <c r="H41" i="1"/>
  <c r="N40" i="1"/>
  <c r="H40" i="1"/>
  <c r="N39" i="1"/>
  <c r="H39" i="1"/>
  <c r="N38" i="1"/>
  <c r="H38" i="1"/>
  <c r="N34" i="1"/>
  <c r="H34" i="1"/>
  <c r="N33" i="1"/>
  <c r="H33" i="1"/>
  <c r="N32" i="1"/>
  <c r="H32" i="1"/>
  <c r="N31" i="1"/>
  <c r="H31" i="1"/>
  <c r="N30" i="1"/>
  <c r="H30" i="1"/>
  <c r="N29" i="1"/>
  <c r="H29" i="1"/>
  <c r="N28" i="1"/>
  <c r="H28" i="1"/>
  <c r="N27" i="1"/>
  <c r="H27" i="1"/>
  <c r="N26" i="1"/>
  <c r="H26" i="1"/>
  <c r="N25" i="1"/>
  <c r="H25" i="1"/>
  <c r="N24" i="1"/>
  <c r="H24" i="1"/>
  <c r="N23" i="1"/>
  <c r="H23" i="1"/>
  <c r="N22" i="1"/>
  <c r="H22" i="1"/>
  <c r="N21" i="1"/>
  <c r="H21" i="1"/>
  <c r="N17" i="1"/>
  <c r="H17" i="1"/>
  <c r="N16" i="1"/>
  <c r="H16" i="1"/>
  <c r="N15" i="1"/>
  <c r="H15" i="1"/>
  <c r="N14" i="1"/>
  <c r="H14" i="1"/>
  <c r="N13" i="1"/>
  <c r="H13" i="1"/>
  <c r="N12" i="1"/>
  <c r="H12" i="1"/>
  <c r="N11" i="1"/>
  <c r="H11" i="1"/>
  <c r="R89" i="1" l="1"/>
  <c r="S30" i="1"/>
  <c r="S25" i="1"/>
  <c r="S46" i="1"/>
  <c r="S13" i="1"/>
  <c r="S23" i="1"/>
  <c r="S31" i="1"/>
  <c r="S41" i="1"/>
  <c r="S51" i="1"/>
  <c r="S71" i="1"/>
  <c r="S77" i="1"/>
  <c r="S83" i="1"/>
  <c r="S16" i="1"/>
  <c r="S26" i="1"/>
  <c r="S34" i="1"/>
  <c r="S44" i="1"/>
  <c r="S54" i="1"/>
  <c r="S15" i="1"/>
  <c r="S33" i="1"/>
  <c r="S56" i="1"/>
  <c r="S29" i="1"/>
  <c r="S75" i="1"/>
  <c r="S14" i="1"/>
  <c r="S42" i="1"/>
  <c r="S52" i="1"/>
  <c r="S72" i="1"/>
  <c r="S78" i="1"/>
  <c r="S76" i="1"/>
  <c r="S28" i="1"/>
  <c r="S38" i="1"/>
  <c r="S68" i="1"/>
  <c r="S74" i="1"/>
  <c r="S80" i="1"/>
  <c r="S21" i="1"/>
  <c r="S39" i="1"/>
  <c r="S47" i="1"/>
  <c r="S69" i="1"/>
  <c r="S81" i="1"/>
  <c r="S24" i="1"/>
  <c r="S32" i="1"/>
  <c r="S17" i="1"/>
  <c r="S27" i="1"/>
  <c r="S45" i="1"/>
  <c r="S55" i="1"/>
  <c r="S22" i="1"/>
  <c r="S40" i="1"/>
  <c r="S70" i="1"/>
  <c r="S82" i="1"/>
  <c r="S12" i="1"/>
  <c r="S43" i="1"/>
  <c r="H63" i="1"/>
  <c r="S53" i="1"/>
  <c r="S67" i="1"/>
  <c r="N35" i="1"/>
  <c r="H96" i="1"/>
  <c r="S96" i="1" s="1"/>
  <c r="H18" i="1"/>
  <c r="N57" i="1"/>
  <c r="N18" i="1"/>
  <c r="H85" i="1"/>
  <c r="S85" i="1" s="1"/>
  <c r="N96" i="1"/>
  <c r="H35" i="1"/>
  <c r="S35" i="1" s="1"/>
  <c r="N48" i="1"/>
  <c r="N85" i="1"/>
  <c r="H57" i="1"/>
  <c r="S57" i="1" s="1"/>
  <c r="H48" i="1"/>
  <c r="H59" i="1" l="1"/>
  <c r="R91" i="1"/>
  <c r="S18" i="1"/>
  <c r="S48" i="1"/>
  <c r="S59" i="1" s="1"/>
  <c r="N59" i="1"/>
  <c r="N87" i="1" s="1"/>
  <c r="N89" i="1" s="1"/>
  <c r="N91" i="1" s="1"/>
  <c r="N98" i="1" s="1"/>
  <c r="H87" i="1"/>
  <c r="S87" i="1" s="1"/>
  <c r="R98" i="1" l="1"/>
  <c r="H89" i="1"/>
  <c r="H91" i="1" l="1"/>
  <c r="S89" i="1"/>
  <c r="H98" i="1" l="1"/>
  <c r="S98" i="1" s="1"/>
  <c r="S91" i="1"/>
</calcChain>
</file>

<file path=xl/sharedStrings.xml><?xml version="1.0" encoding="utf-8"?>
<sst xmlns="http://schemas.openxmlformats.org/spreadsheetml/2006/main" count="350" uniqueCount="229">
  <si>
    <t xml:space="preserve">Belgian Appel à projets : Appui au développement transitionnel </t>
  </si>
  <si>
    <t xml:space="preserve">Lead Organisation </t>
  </si>
  <si>
    <t>Radio La Benevolencija Humanitarian Tools Foundation</t>
  </si>
  <si>
    <t xml:space="preserve">Partner Organisations </t>
  </si>
  <si>
    <t>YAGA/RNW Media, IWACU, Isanganiro, REMA and Hope University</t>
  </si>
  <si>
    <t>Project Title</t>
  </si>
  <si>
    <t>DU PASSE COMPOSE AU FUTUR SIMPLE, L’URGENCE DE DIALOGUER SUR NOTRE HISTOIRE</t>
  </si>
  <si>
    <t>Project Period</t>
  </si>
  <si>
    <t>BUDGET YEAR 1: 2019</t>
  </si>
  <si>
    <t>Budget line</t>
  </si>
  <si>
    <t>Description</t>
  </si>
  <si>
    <t>Unit</t>
  </si>
  <si>
    <t># of 
units</t>
  </si>
  <si>
    <t>Unit rate EUR</t>
  </si>
  <si>
    <t>% Effort</t>
  </si>
  <si>
    <t>Total costs 2019           EUR</t>
  </si>
  <si>
    <t>NOTES</t>
  </si>
  <si>
    <t>Activities</t>
  </si>
  <si>
    <t>Activity 1:Recherche scientifique identifiant les événements, le lieu et les histoires chargés de mémoire, intéressant pour un public jeune burundais</t>
  </si>
  <si>
    <t>1.1.1</t>
  </si>
  <si>
    <t>Research and documentation</t>
  </si>
  <si>
    <t>University research over a 4 month period incl. senior/junior researchers, enquetes, fieldwork &amp; documentation</t>
  </si>
  <si>
    <t>Per year</t>
  </si>
  <si>
    <t>1.1.2</t>
  </si>
  <si>
    <t>Fee Historians</t>
  </si>
  <si>
    <t>Consultation with historians over the project period for academic verification and use of research</t>
  </si>
  <si>
    <t>Per month</t>
  </si>
  <si>
    <t>1.1.3</t>
  </si>
  <si>
    <t xml:space="preserve">Logistics and travel </t>
  </si>
  <si>
    <t>Relating to research coordination with partners</t>
  </si>
  <si>
    <t>1.1.4</t>
  </si>
  <si>
    <t>Logistician/driver</t>
  </si>
  <si>
    <t>For facilitating activities/transporting researchers</t>
  </si>
  <si>
    <t>1.1.5</t>
  </si>
  <si>
    <t>Local Coordinator RLB</t>
  </si>
  <si>
    <t>1 dedicated local Coordinator for this project ensuring collaboration &amp; synergy between partners</t>
  </si>
  <si>
    <t>1.1.6</t>
  </si>
  <si>
    <t>Media Advisor RLB</t>
  </si>
  <si>
    <t xml:space="preserve">Expert consultant (expat) assisting with content development/media formats: Y1 - 10 months; Y2 - 9 months  </t>
  </si>
  <si>
    <t>Sub-total</t>
  </si>
  <si>
    <t>Activity 2:' La question du mois' en ligne en ayant pour but d’interroger une partie de la jeunesse burundaise sur leurs opinions sur l’histoire (YAGA/RNW)</t>
  </si>
  <si>
    <t>1.2.1</t>
  </si>
  <si>
    <t xml:space="preserve">Sondages thématiques </t>
  </si>
  <si>
    <t>pour sonder en profondeur les connaissances/curiosités des Burundais  Baseline survey Y1</t>
  </si>
  <si>
    <t>1.2.2</t>
  </si>
  <si>
    <t>pour sonder en profondeur les connaissances/curiosités des Burundais - Endline survey Y2</t>
  </si>
  <si>
    <t>1.2.3</t>
  </si>
  <si>
    <t>Promotion</t>
  </si>
  <si>
    <t xml:space="preserve"> incentive participation au sondade de recherche </t>
  </si>
  <si>
    <t>1.2.4</t>
  </si>
  <si>
    <t>Marketing sondage</t>
  </si>
  <si>
    <t>1.2.5</t>
  </si>
  <si>
    <t>Animation</t>
  </si>
  <si>
    <t>Apres chaque sondage une réponse serait apporté sous forme d'animation https://www.youtube.com/watch?v=bjrQo1AOLOE</t>
  </si>
  <si>
    <t>1.2.6</t>
  </si>
  <si>
    <t xml:space="preserve">4 dessins </t>
  </si>
  <si>
    <t xml:space="preserve">2 dessins commandités auprès des dessinateurs burundais et 2 dessins pour promouvoir les résultats </t>
  </si>
  <si>
    <t>1.2.7</t>
  </si>
  <si>
    <t>Incentive sondage</t>
  </si>
  <si>
    <t>1.2.8</t>
  </si>
  <si>
    <t xml:space="preserve">9 débats sur l'histoire </t>
  </si>
  <si>
    <t>9 débats sur l'histoire à l'IFB ou autre institut</t>
  </si>
  <si>
    <t>1.2.9</t>
  </si>
  <si>
    <t>Focus groups</t>
  </si>
  <si>
    <t xml:space="preserve">Prépration questions focus groups </t>
  </si>
  <si>
    <t>Per item</t>
  </si>
  <si>
    <t>1.2.10</t>
  </si>
  <si>
    <t xml:space="preserve">1 Formation </t>
  </si>
  <si>
    <t xml:space="preserve">Formation comment créer un sondage comment utiliser les dfférents outils présents sur les réseaux sociaux </t>
  </si>
  <si>
    <t>Per formation</t>
  </si>
  <si>
    <t>1.2.11</t>
  </si>
  <si>
    <t xml:space="preserve">Atelier IWACU YAGA ISANGANIRO </t>
  </si>
  <si>
    <t xml:space="preserve">IWACU YAGA ISANGANIRO atelier de lancement + comment exploiter les datas et les convertir en infographies accessibles au grand public </t>
  </si>
  <si>
    <t>1.2.12</t>
  </si>
  <si>
    <t xml:space="preserve">1 Formation comment raconter des histoires </t>
  </si>
  <si>
    <t>Formation comment raconter des histoires pour susciter l'empathie, rendre des témoignages poignants sans en altérer la véracité + utiliser les réseaux sociaux</t>
  </si>
  <si>
    <t>1.2.13</t>
  </si>
  <si>
    <t xml:space="preserve">Modéraeur specialiste de l' histoire (YAGA) </t>
  </si>
  <si>
    <t>1.2.14</t>
  </si>
  <si>
    <t xml:space="preserve">Responsible du bon déroulement du projet (YAGA) </t>
  </si>
  <si>
    <t xml:space="preserve">Activity 3:  Création des espaces inclusives et participatives pour faciliter des dialogues critiques ainsi que des réflexions des jeunes (on- et offline) </t>
  </si>
  <si>
    <t>1.3.1</t>
  </si>
  <si>
    <t>Online debates  - IWACU</t>
  </si>
  <si>
    <t>monthly debates production online on themes researched</t>
  </si>
  <si>
    <t>1.3.2</t>
  </si>
  <si>
    <t>Offline participative sessions - IWACU</t>
  </si>
  <si>
    <t xml:space="preserve"> 6 face-to-face debates per year </t>
  </si>
  <si>
    <t>1.3.3</t>
  </si>
  <si>
    <t>Debates - ISANGANIRO</t>
  </si>
  <si>
    <t>monthly debates produced &amp; broadcast on themes researched</t>
  </si>
  <si>
    <t>1.3.4</t>
  </si>
  <si>
    <t>Promotional spots - ISANGANIRO</t>
  </si>
  <si>
    <t>1.3.5</t>
  </si>
  <si>
    <t>TV spots - REMA</t>
  </si>
  <si>
    <t>monthly spots produced &amp; broadcast on themes researched</t>
  </si>
  <si>
    <t>1.3.6</t>
  </si>
  <si>
    <t>Studio rent</t>
  </si>
  <si>
    <t>For preparing joint synergy sessions with all partners</t>
  </si>
  <si>
    <t>1.3.7</t>
  </si>
  <si>
    <t>Fuel/maintenance costs for transporting jouralists/partners for joint sessions</t>
  </si>
  <si>
    <t>1.3.8</t>
  </si>
  <si>
    <t>For facilitating activities/transporting partners/journalists</t>
  </si>
  <si>
    <t>1.3.9</t>
  </si>
  <si>
    <t>Coordinator RLB</t>
  </si>
  <si>
    <t>1.3.10</t>
  </si>
  <si>
    <t>RLB Expert consultant (expat) assisting with content development/media formats (10%)</t>
  </si>
  <si>
    <t>Activity 4: Coproduction/Diffusion des produits médiatiques : i) « Quelle histoire », une série des débats et magazines (radio/en ligne) sur la confrontation historique des enjeux qui blessent pour les jeunes. ii) « Murikira Ukuri », une série hebdomadaire de production fictive, à travers l’insertion d’une trame historique dans un feuilleton radio existante</t>
  </si>
  <si>
    <t>1.4.1</t>
  </si>
  <si>
    <t>Production and broadcast of 'Quelle Histoire' - all partners</t>
  </si>
  <si>
    <t>Factual monthly co-production by all partners Iwacu, Isanganiro, REMA and Yaga</t>
  </si>
  <si>
    <t>1.4.1.1</t>
  </si>
  <si>
    <t>1.4.1.2</t>
  </si>
  <si>
    <t>For facilitating activities/transporting partners</t>
  </si>
  <si>
    <t>1.4.2</t>
  </si>
  <si>
    <t>Production and broadcast of 'Murikira Ukuri' - RLB</t>
  </si>
  <si>
    <t>Fictional 30-minute radio drama broadcast weekly on different radio stations. Costs covered by RLB co-funding in Y1 (see item 5. Contribution in kind)</t>
  </si>
  <si>
    <t>1.4.2.1</t>
  </si>
  <si>
    <t>1.4.2.2</t>
  </si>
  <si>
    <t>Sub-total Activities 1-4</t>
  </si>
  <si>
    <t>Evaluation et Suivi</t>
  </si>
  <si>
    <t xml:space="preserve"> 1 End-line survey</t>
  </si>
  <si>
    <t>1 detailed survey at the end of the project to assess effectiveness - to be outsourced</t>
  </si>
  <si>
    <t>Per Annum</t>
  </si>
  <si>
    <t>Programme Management Costs</t>
  </si>
  <si>
    <t>Human Resources (gross salaries including social security charges, employers contribution, and other related costs)</t>
  </si>
  <si>
    <t>3.1.1</t>
  </si>
  <si>
    <t>Head of Mission Burundi RLB</t>
  </si>
  <si>
    <t>Head of Mission (40%) - Local staff</t>
  </si>
  <si>
    <t>Per Month</t>
  </si>
  <si>
    <t>3.1.2</t>
  </si>
  <si>
    <t>Financial Head Burundi RLB</t>
  </si>
  <si>
    <t>DAF Burundi (40%) - Local staff</t>
  </si>
  <si>
    <t>3.1.3</t>
  </si>
  <si>
    <t>Finance Controller RLB</t>
  </si>
  <si>
    <t>HQ based admin support - int. staff</t>
  </si>
  <si>
    <t>3.1.4</t>
  </si>
  <si>
    <t>Programme Coordinator RLB</t>
  </si>
  <si>
    <t>HQ based programme support - int staff</t>
  </si>
  <si>
    <t>3.1.5</t>
  </si>
  <si>
    <t>Program Coordinator RNW (20%)</t>
  </si>
  <si>
    <t>3.1.6</t>
  </si>
  <si>
    <t>Project officer /Controller support RNW (10%)</t>
  </si>
  <si>
    <t>Travel</t>
  </si>
  <si>
    <t>3.2.1</t>
  </si>
  <si>
    <t>International/regional  travel RLB</t>
  </si>
  <si>
    <t>International flight but may also be used for 1 or 2 or more regional flights depending on security issues</t>
  </si>
  <si>
    <t>Per Flight</t>
  </si>
  <si>
    <t>3.2.2</t>
  </si>
  <si>
    <t>Visa permits RLB</t>
  </si>
  <si>
    <t xml:space="preserve">Per trip </t>
  </si>
  <si>
    <t>Per Trip</t>
  </si>
  <si>
    <t>3.2.3</t>
  </si>
  <si>
    <t>Per diem international staff RLB</t>
  </si>
  <si>
    <t>7 days a year incl. boarding &amp; lodging</t>
  </si>
  <si>
    <t>Per Day</t>
  </si>
  <si>
    <t>3.2.4</t>
  </si>
  <si>
    <t>International travel RNW</t>
  </si>
  <si>
    <t>International flight</t>
  </si>
  <si>
    <t xml:space="preserve">Per flight </t>
  </si>
  <si>
    <t>3.2.5</t>
  </si>
  <si>
    <t>Per diem international staff RNW</t>
  </si>
  <si>
    <t>Per day</t>
  </si>
  <si>
    <t>Local office</t>
  </si>
  <si>
    <t>3.3.1</t>
  </si>
  <si>
    <t>Financial administration &amp; Audit RLB</t>
  </si>
  <si>
    <t>Contribution towards annual accounts audits</t>
  </si>
  <si>
    <t>3.3.2</t>
  </si>
  <si>
    <t>Bank charges RLB</t>
  </si>
  <si>
    <t>Banking charges, transfers/transactions/exchange rates</t>
  </si>
  <si>
    <t>3.3.3</t>
  </si>
  <si>
    <t>Local office rent RLB</t>
  </si>
  <si>
    <t>3.3.4</t>
  </si>
  <si>
    <t>Local office rent RNW</t>
  </si>
  <si>
    <t>Sub-total Programme Management costs</t>
  </si>
  <si>
    <t>Sub-total direct eligible costs of the Action (1+2+3 )</t>
  </si>
  <si>
    <t>Indirect costs (7% of 3, sub-total of direct eligible costs of the Action)</t>
  </si>
  <si>
    <t>Total eligible costs of the Action [4+5]</t>
  </si>
  <si>
    <t>Co-financing contribution</t>
  </si>
  <si>
    <t>RNW</t>
  </si>
  <si>
    <t>RLB</t>
  </si>
  <si>
    <t>Subtotal</t>
  </si>
  <si>
    <t>Total accepted costs of the Action (6-7)</t>
  </si>
  <si>
    <t>Total Budget 2018-2020    EUR</t>
  </si>
  <si>
    <t>Veuillez noter que les services de l'expert des médias n'ont pas été largement sollicités et que les économies réalisées ici seront affectées à la couverture des coûts locaux du PMC pendant la période d'extension.</t>
  </si>
  <si>
    <t>Veuillez noter que les services de l'expert des médias (lignes budgétaires 1.1.6, 1.3.10 et 1.4.2.2) n'ont pas été largement nécessaires et que les économies réalisées grâce à cette ressource humaine seront allouées pour couvrir les coûts de PMC pendant la période d'extension.</t>
  </si>
  <si>
    <t>Total</t>
  </si>
  <si>
    <t>Balance</t>
  </si>
  <si>
    <t>RNW own contribution</t>
  </si>
  <si>
    <t>RLB Expenditure</t>
  </si>
  <si>
    <t>RLB own contribution</t>
  </si>
  <si>
    <t>Disbursements Donor</t>
  </si>
  <si>
    <t>1st payment - 01/02/2019</t>
  </si>
  <si>
    <t>2nd payment - 20/01/2020</t>
  </si>
  <si>
    <t>Balance to settle</t>
  </si>
  <si>
    <t>Dépenses  2019</t>
  </si>
  <si>
    <t>Dépenses 2020</t>
  </si>
  <si>
    <t>Dépenses  2021</t>
  </si>
  <si>
    <t>New project period</t>
  </si>
  <si>
    <t>01/04/2019 - 31/03/2021</t>
  </si>
  <si>
    <t>Total Expenditure  2019-2021</t>
  </si>
  <si>
    <t>Expenditure</t>
  </si>
  <si>
    <t xml:space="preserve">RLB </t>
  </si>
  <si>
    <t xml:space="preserve">Total Budget Share </t>
  </si>
  <si>
    <t xml:space="preserve">Own Contribution </t>
  </si>
  <si>
    <t>Actual Budget</t>
  </si>
  <si>
    <t>Total Expenditure RNW+RLB</t>
  </si>
  <si>
    <t>RNW Overheads</t>
  </si>
  <si>
    <t>Total expenditure</t>
  </si>
  <si>
    <t>RLB Overheads</t>
  </si>
  <si>
    <t>Submission Final Report</t>
  </si>
  <si>
    <t>BUDGET PLAN ALL YEARS - 2018 - 2020</t>
  </si>
  <si>
    <t>EXPENDITURE 2019-2021</t>
  </si>
  <si>
    <t>idem</t>
  </si>
  <si>
    <r>
      <t xml:space="preserve">Rema a produit et diffusé 6 spots annonce TV dans la période d'extenstion, à raison de 600 </t>
    </r>
    <r>
      <rPr>
        <sz val="9"/>
        <color rgb="FF0070C0"/>
        <rFont val="Calibri"/>
        <family val="2"/>
      </rPr>
      <t>€</t>
    </r>
    <r>
      <rPr>
        <sz val="8.75"/>
        <color rgb="FF0070C0"/>
        <rFont val="Calibri"/>
        <family val="2"/>
      </rPr>
      <t xml:space="preserve"> par spot,</t>
    </r>
  </si>
  <si>
    <t xml:space="preserve">50% de ce montant a été alloué au sondage en ligne par Yaga, en raison de l'impossibilité de faire un sondage par interviews face-à-face. </t>
  </si>
  <si>
    <t>L'activité 1 est terminée ; mais des experts (1.1) ont accompagné les débats pendant toute la durée du projet.</t>
  </si>
  <si>
    <t>L'activité 1.2 a été entreprise par YAGA/RNW.</t>
  </si>
  <si>
    <t>Des enquêtes thématiques étaient prévues sur une base mensuelle, mais compte tenu du retard pris dans le démarrage du projet, Yaga a accéléré la production et 24 enquêtes ont déjà été produites d'ici mars 2021.</t>
  </si>
  <si>
    <t>Les coûts de l'animation ont été plus élevés que prévu.</t>
  </si>
  <si>
    <t xml:space="preserve">Cette ligne budgétaire a été utilisée en partie pour couvrir le coût des ateliers ci-dessous (ligne 31). </t>
  </si>
  <si>
    <t xml:space="preserve">NB : la contribution propre de RNW Media est passée de 10 000 EUR à 10 938 EUR car elle a dépassé le budget d'un montant de 938,10 EUR. </t>
  </si>
  <si>
    <t>Ceci a servi à payer les coûts de supervision de Yaga par RNW pendant la période d'extension</t>
  </si>
  <si>
    <t>Avec l'expertise acquise progressivementr par l'équipe locale, l'expert international a été de moins en moins sollicité, les frais épargnés ont servi aux coûts de gestion du projet au cours de l'extension</t>
  </si>
  <si>
    <r>
      <t xml:space="preserve">cet excédent a couvert les frais de diffusion de 6 émissions débatspour 3 partenaires (Iwacu-Isanganiro-Rema, 1913 </t>
    </r>
    <r>
      <rPr>
        <sz val="9"/>
        <color rgb="FF0070C0"/>
        <rFont val="Calibri"/>
        <family val="2"/>
      </rPr>
      <t>€</t>
    </r>
    <r>
      <rPr>
        <sz val="8.75"/>
        <color rgb="FF0070C0"/>
        <rFont val="Calibri"/>
        <family val="2"/>
      </rPr>
      <t xml:space="preserve"> par diffusion. </t>
    </r>
    <r>
      <rPr>
        <sz val="9"/>
        <color rgb="FF0070C0"/>
        <rFont val="Calibri"/>
        <family val="2"/>
        <scheme val="minor"/>
      </rPr>
      <t>Les coûts supplémentaires ont été approuvés pour la période de prolongation.</t>
    </r>
  </si>
  <si>
    <t xml:space="preserve">Les coûts de fuel ont explosé avec les débats délocalisés loin de Bujumbura </t>
  </si>
  <si>
    <t>Cet atelier combinait la formation ci-dessus (ligne 30). Les économies réalisées sur la ligne 32 ont été utilisées pour compenser les coûts supplémentaires de l'atelier tenu à Kampala.</t>
  </si>
  <si>
    <t xml:space="preserve">Les productions face à face de Iwacu ont été converties en un magazine spécial de 76 pages pour illustrer  pendant la période d'extension, pour illustrer la période la plus cruciale : "De la monarchie aux Républiques "monarchiques" </t>
  </si>
  <si>
    <t>Un spot annonce a été produit pour annoncer le retour du programme qu'on avait clos en décembre 2020,</t>
  </si>
  <si>
    <t>1 Nov 2018- 31 Dec 2020  (Project delayed by official closure of all Burundi INGOs for 3 months in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</si>
</sst>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F800]dddd\,\ mmmm\ dd\,\ yyyy"/>
    <numFmt numFmtId="166" formatCode="[$€-413]\ #,##0;[$€-413]\ #,##0\-"/>
    <numFmt numFmtId="167" formatCode="_-* #,##0.00_-;\-* #,##0.00_-;_-* &quot;-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9"/>
      <color rgb="FF0070C0"/>
      <name val="Calibri"/>
      <family val="2"/>
    </font>
    <font>
      <sz val="8.75"/>
      <color rgb="FF0070C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0">
    <xf numFmtId="0" fontId="0" fillId="0" borderId="0" xfId="0"/>
    <xf numFmtId="0" fontId="2" fillId="2" borderId="1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43" fontId="3" fillId="0" borderId="0" xfId="1" applyFont="1" applyAlignment="1">
      <alignment vertical="top"/>
    </xf>
    <xf numFmtId="0" fontId="5" fillId="2" borderId="4" xfId="1" applyNumberFormat="1" applyFont="1" applyFill="1" applyBorder="1" applyAlignment="1">
      <alignment horizontal="left" vertical="top"/>
    </xf>
    <xf numFmtId="164" fontId="5" fillId="2" borderId="0" xfId="1" applyNumberFormat="1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5" xfId="0" applyFont="1" applyFill="1" applyBorder="1" applyAlignment="1">
      <alignment vertical="top"/>
    </xf>
    <xf numFmtId="164" fontId="5" fillId="2" borderId="4" xfId="1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165" fontId="5" fillId="2" borderId="0" xfId="1" applyNumberFormat="1" applyFont="1" applyFill="1" applyBorder="1" applyAlignment="1">
      <alignment horizontal="left" vertical="top"/>
    </xf>
    <xf numFmtId="0" fontId="5" fillId="2" borderId="6" xfId="1" applyNumberFormat="1" applyFont="1" applyFill="1" applyBorder="1" applyAlignment="1">
      <alignment horizontal="left" vertical="top"/>
    </xf>
    <xf numFmtId="0" fontId="3" fillId="2" borderId="7" xfId="0" applyFont="1" applyFill="1" applyBorder="1" applyAlignment="1">
      <alignment vertical="top"/>
    </xf>
    <xf numFmtId="15" fontId="5" fillId="2" borderId="7" xfId="0" applyNumberFormat="1" applyFont="1" applyFill="1" applyBorder="1" applyAlignment="1">
      <alignment horizontal="left" vertical="top"/>
    </xf>
    <xf numFmtId="0" fontId="3" fillId="2" borderId="8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3" fillId="2" borderId="10" xfId="0" applyFont="1" applyFill="1" applyBorder="1" applyAlignment="1">
      <alignment vertical="top"/>
    </xf>
    <xf numFmtId="0" fontId="3" fillId="2" borderId="11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5" fillId="2" borderId="12" xfId="0" applyFont="1" applyFill="1" applyBorder="1" applyAlignment="1">
      <alignment horizontal="right" vertical="top"/>
    </xf>
    <xf numFmtId="0" fontId="5" fillId="2" borderId="13" xfId="0" applyFont="1" applyFill="1" applyBorder="1" applyAlignment="1">
      <alignment vertical="top" wrapText="1"/>
    </xf>
    <xf numFmtId="0" fontId="5" fillId="2" borderId="13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 wrapText="1"/>
    </xf>
    <xf numFmtId="41" fontId="5" fillId="2" borderId="13" xfId="0" applyNumberFormat="1" applyFont="1" applyFill="1" applyBorder="1" applyAlignment="1">
      <alignment horizontal="center" vertical="top" wrapText="1"/>
    </xf>
    <xf numFmtId="41" fontId="5" fillId="2" borderId="13" xfId="0" applyNumberFormat="1" applyFont="1" applyFill="1" applyBorder="1" applyAlignment="1">
      <alignment vertical="top" wrapText="1"/>
    </xf>
    <xf numFmtId="41" fontId="5" fillId="2" borderId="14" xfId="0" applyNumberFormat="1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center" vertical="top" wrapText="1"/>
    </xf>
    <xf numFmtId="41" fontId="5" fillId="2" borderId="16" xfId="0" applyNumberFormat="1" applyFont="1" applyFill="1" applyBorder="1" applyAlignment="1">
      <alignment horizontal="center" vertical="top" wrapText="1"/>
    </xf>
    <xf numFmtId="41" fontId="5" fillId="2" borderId="16" xfId="0" applyNumberFormat="1" applyFont="1" applyFill="1" applyBorder="1" applyAlignment="1">
      <alignment vertical="top" wrapText="1"/>
    </xf>
    <xf numFmtId="41" fontId="5" fillId="2" borderId="17" xfId="0" applyNumberFormat="1" applyFont="1" applyFill="1" applyBorder="1" applyAlignment="1">
      <alignment horizontal="center" vertical="top" wrapText="1"/>
    </xf>
    <xf numFmtId="0" fontId="5" fillId="3" borderId="18" xfId="0" applyFont="1" applyFill="1" applyBorder="1" applyAlignment="1">
      <alignment horizontal="right" vertical="top"/>
    </xf>
    <xf numFmtId="0" fontId="5" fillId="3" borderId="19" xfId="0" applyFont="1" applyFill="1" applyBorder="1" applyAlignment="1">
      <alignment vertical="top"/>
    </xf>
    <xf numFmtId="0" fontId="7" fillId="3" borderId="19" xfId="0" applyFont="1" applyFill="1" applyBorder="1" applyAlignment="1">
      <alignment vertical="top"/>
    </xf>
    <xf numFmtId="0" fontId="6" fillId="3" borderId="19" xfId="0" applyFont="1" applyFill="1" applyBorder="1" applyAlignment="1">
      <alignment horizontal="center" vertical="top"/>
    </xf>
    <xf numFmtId="41" fontId="7" fillId="3" borderId="19" xfId="0" applyNumberFormat="1" applyFont="1" applyFill="1" applyBorder="1" applyAlignment="1">
      <alignment horizontal="left" vertical="top"/>
    </xf>
    <xf numFmtId="41" fontId="7" fillId="3" borderId="19" xfId="0" applyNumberFormat="1" applyFont="1" applyFill="1" applyBorder="1" applyAlignment="1">
      <alignment vertical="top"/>
    </xf>
    <xf numFmtId="41" fontId="7" fillId="3" borderId="20" xfId="0" applyNumberFormat="1" applyFont="1" applyFill="1" applyBorder="1" applyAlignment="1">
      <alignment horizontal="left" vertical="top"/>
    </xf>
    <xf numFmtId="0" fontId="7" fillId="3" borderId="18" xfId="0" applyFont="1" applyFill="1" applyBorder="1" applyAlignment="1">
      <alignment vertical="top"/>
    </xf>
    <xf numFmtId="0" fontId="7" fillId="3" borderId="19" xfId="0" applyFont="1" applyFill="1" applyBorder="1" applyAlignment="1">
      <alignment horizontal="center" vertical="top"/>
    </xf>
    <xf numFmtId="0" fontId="5" fillId="4" borderId="18" xfId="0" applyFont="1" applyFill="1" applyBorder="1" applyAlignment="1">
      <alignment horizontal="right" vertical="top"/>
    </xf>
    <xf numFmtId="0" fontId="7" fillId="4" borderId="19" xfId="0" applyFont="1" applyFill="1" applyBorder="1" applyAlignment="1">
      <alignment vertical="top"/>
    </xf>
    <xf numFmtId="0" fontId="7" fillId="4" borderId="19" xfId="0" applyFont="1" applyFill="1" applyBorder="1" applyAlignment="1">
      <alignment horizontal="center" vertical="top"/>
    </xf>
    <xf numFmtId="41" fontId="7" fillId="4" borderId="19" xfId="0" applyNumberFormat="1" applyFont="1" applyFill="1" applyBorder="1" applyAlignment="1">
      <alignment horizontal="left" vertical="top"/>
    </xf>
    <xf numFmtId="41" fontId="7" fillId="4" borderId="19" xfId="0" applyNumberFormat="1" applyFont="1" applyFill="1" applyBorder="1" applyAlignment="1">
      <alignment vertical="top"/>
    </xf>
    <xf numFmtId="41" fontId="7" fillId="4" borderId="20" xfId="0" applyNumberFormat="1" applyFont="1" applyFill="1" applyBorder="1" applyAlignment="1">
      <alignment horizontal="left" vertical="top"/>
    </xf>
    <xf numFmtId="0" fontId="7" fillId="4" borderId="18" xfId="0" applyFont="1" applyFill="1" applyBorder="1" applyAlignment="1">
      <alignment vertical="top"/>
    </xf>
    <xf numFmtId="43" fontId="3" fillId="0" borderId="19" xfId="1" applyFont="1" applyBorder="1" applyAlignment="1">
      <alignment vertical="top"/>
    </xf>
    <xf numFmtId="0" fontId="7" fillId="5" borderId="19" xfId="0" applyFont="1" applyFill="1" applyBorder="1" applyAlignment="1">
      <alignment vertical="top"/>
    </xf>
    <xf numFmtId="0" fontId="7" fillId="5" borderId="19" xfId="0" applyFont="1" applyFill="1" applyBorder="1" applyAlignment="1">
      <alignment vertical="top" wrapText="1"/>
    </xf>
    <xf numFmtId="0" fontId="7" fillId="5" borderId="19" xfId="0" applyFont="1" applyFill="1" applyBorder="1" applyAlignment="1">
      <alignment horizontal="center" vertical="top"/>
    </xf>
    <xf numFmtId="41" fontId="7" fillId="5" borderId="19" xfId="0" applyNumberFormat="1" applyFont="1" applyFill="1" applyBorder="1" applyAlignment="1">
      <alignment horizontal="left" vertical="top"/>
    </xf>
    <xf numFmtId="9" fontId="7" fillId="5" borderId="19" xfId="0" applyNumberFormat="1" applyFont="1" applyFill="1" applyBorder="1" applyAlignment="1">
      <alignment horizontal="center" vertical="top"/>
    </xf>
    <xf numFmtId="41" fontId="7" fillId="5" borderId="20" xfId="0" applyNumberFormat="1" applyFont="1" applyFill="1" applyBorder="1" applyAlignment="1">
      <alignment horizontal="left" vertical="top"/>
    </xf>
    <xf numFmtId="0" fontId="7" fillId="5" borderId="18" xfId="0" applyFont="1" applyFill="1" applyBorder="1" applyAlignment="1">
      <alignment vertical="top"/>
    </xf>
    <xf numFmtId="43" fontId="3" fillId="6" borderId="19" xfId="1" applyFont="1" applyFill="1" applyBorder="1" applyAlignment="1">
      <alignment vertical="top"/>
    </xf>
    <xf numFmtId="0" fontId="7" fillId="0" borderId="19" xfId="0" applyFont="1" applyBorder="1" applyAlignment="1">
      <alignment vertical="top"/>
    </xf>
    <xf numFmtId="0" fontId="7" fillId="0" borderId="19" xfId="0" applyFont="1" applyBorder="1" applyAlignment="1">
      <alignment vertical="top" wrapText="1"/>
    </xf>
    <xf numFmtId="0" fontId="7" fillId="0" borderId="19" xfId="0" applyFont="1" applyBorder="1" applyAlignment="1">
      <alignment horizontal="center" vertical="top"/>
    </xf>
    <xf numFmtId="41" fontId="7" fillId="0" borderId="19" xfId="0" applyNumberFormat="1" applyFont="1" applyBorder="1" applyAlignment="1">
      <alignment horizontal="left" vertical="top"/>
    </xf>
    <xf numFmtId="9" fontId="7" fillId="0" borderId="19" xfId="0" applyNumberFormat="1" applyFont="1" applyBorder="1" applyAlignment="1">
      <alignment horizontal="center" vertical="top"/>
    </xf>
    <xf numFmtId="41" fontId="7" fillId="0" borderId="20" xfId="0" applyNumberFormat="1" applyFont="1" applyBorder="1" applyAlignment="1">
      <alignment horizontal="left" vertical="top"/>
    </xf>
    <xf numFmtId="0" fontId="7" fillId="7" borderId="18" xfId="0" applyFont="1" applyFill="1" applyBorder="1" applyAlignment="1">
      <alignment vertical="top"/>
    </xf>
    <xf numFmtId="0" fontId="7" fillId="0" borderId="18" xfId="0" applyFont="1" applyBorder="1" applyAlignment="1">
      <alignment vertical="top"/>
    </xf>
    <xf numFmtId="0" fontId="5" fillId="4" borderId="18" xfId="2" applyNumberFormat="1" applyFont="1" applyFill="1" applyBorder="1" applyAlignment="1" applyProtection="1">
      <alignment horizontal="right" vertical="top"/>
    </xf>
    <xf numFmtId="0" fontId="7" fillId="8" borderId="19" xfId="0" applyFont="1" applyFill="1" applyBorder="1" applyAlignment="1">
      <alignment vertical="top"/>
    </xf>
    <xf numFmtId="0" fontId="7" fillId="8" borderId="19" xfId="0" applyFont="1" applyFill="1" applyBorder="1" applyAlignment="1">
      <alignment horizontal="center" vertical="top"/>
    </xf>
    <xf numFmtId="41" fontId="7" fillId="8" borderId="19" xfId="0" applyNumberFormat="1" applyFont="1" applyFill="1" applyBorder="1" applyAlignment="1">
      <alignment horizontal="left" vertical="top"/>
    </xf>
    <xf numFmtId="41" fontId="7" fillId="8" borderId="19" xfId="0" applyNumberFormat="1" applyFont="1" applyFill="1" applyBorder="1" applyAlignment="1">
      <alignment vertical="top"/>
    </xf>
    <xf numFmtId="41" fontId="5" fillId="8" borderId="20" xfId="0" applyNumberFormat="1" applyFont="1" applyFill="1" applyBorder="1" applyAlignment="1">
      <alignment horizontal="left" vertical="top"/>
    </xf>
    <xf numFmtId="0" fontId="3" fillId="8" borderId="0" xfId="0" applyFont="1" applyFill="1" applyAlignment="1">
      <alignment vertical="top"/>
    </xf>
    <xf numFmtId="0" fontId="7" fillId="8" borderId="18" xfId="0" applyFont="1" applyFill="1" applyBorder="1" applyAlignment="1">
      <alignment vertical="top"/>
    </xf>
    <xf numFmtId="164" fontId="5" fillId="8" borderId="18" xfId="1" applyNumberFormat="1" applyFont="1" applyFill="1" applyBorder="1" applyAlignment="1">
      <alignment horizontal="left" vertical="top"/>
    </xf>
    <xf numFmtId="0" fontId="5" fillId="0" borderId="19" xfId="0" applyFont="1" applyBorder="1" applyAlignment="1">
      <alignment vertical="top"/>
    </xf>
    <xf numFmtId="41" fontId="7" fillId="0" borderId="19" xfId="0" applyNumberFormat="1" applyFont="1" applyBorder="1" applyAlignment="1">
      <alignment vertical="top"/>
    </xf>
    <xf numFmtId="0" fontId="3" fillId="4" borderId="18" xfId="0" applyFont="1" applyFill="1" applyBorder="1" applyAlignment="1">
      <alignment vertical="top"/>
    </xf>
    <xf numFmtId="0" fontId="3" fillId="4" borderId="19" xfId="0" applyFont="1" applyFill="1" applyBorder="1" applyAlignment="1">
      <alignment vertical="top"/>
    </xf>
    <xf numFmtId="0" fontId="3" fillId="4" borderId="20" xfId="0" applyFont="1" applyFill="1" applyBorder="1" applyAlignment="1">
      <alignment vertical="top"/>
    </xf>
    <xf numFmtId="0" fontId="7" fillId="8" borderId="19" xfId="0" applyFont="1" applyFill="1" applyBorder="1" applyAlignment="1">
      <alignment vertical="top" wrapText="1"/>
    </xf>
    <xf numFmtId="0" fontId="7" fillId="8" borderId="19" xfId="0" applyFont="1" applyFill="1" applyBorder="1" applyAlignment="1">
      <alignment horizontal="left" vertical="top"/>
    </xf>
    <xf numFmtId="164" fontId="7" fillId="8" borderId="19" xfId="1" applyNumberFormat="1" applyFont="1" applyFill="1" applyBorder="1" applyAlignment="1">
      <alignment vertical="top"/>
    </xf>
    <xf numFmtId="9" fontId="7" fillId="8" borderId="19" xfId="0" applyNumberFormat="1" applyFont="1" applyFill="1" applyBorder="1" applyAlignment="1">
      <alignment horizontal="center" vertical="top"/>
    </xf>
    <xf numFmtId="41" fontId="7" fillId="8" borderId="20" xfId="0" applyNumberFormat="1" applyFont="1" applyFill="1" applyBorder="1" applyAlignment="1">
      <alignment horizontal="left" vertical="top"/>
    </xf>
    <xf numFmtId="0" fontId="3" fillId="8" borderId="18" xfId="0" applyFont="1" applyFill="1" applyBorder="1" applyAlignment="1">
      <alignment horizontal="left" vertical="top"/>
    </xf>
    <xf numFmtId="0" fontId="3" fillId="8" borderId="19" xfId="0" applyFont="1" applyFill="1" applyBorder="1" applyAlignment="1">
      <alignment horizontal="center" vertical="top"/>
    </xf>
    <xf numFmtId="164" fontId="3" fillId="8" borderId="19" xfId="1" applyNumberFormat="1" applyFont="1" applyFill="1" applyBorder="1" applyAlignment="1">
      <alignment vertical="top"/>
    </xf>
    <xf numFmtId="0" fontId="3" fillId="9" borderId="18" xfId="0" applyFont="1" applyFill="1" applyBorder="1" applyAlignment="1">
      <alignment horizontal="left" vertical="top"/>
    </xf>
    <xf numFmtId="0" fontId="3" fillId="9" borderId="19" xfId="0" applyFont="1" applyFill="1" applyBorder="1" applyAlignment="1">
      <alignment vertical="top" wrapText="1"/>
    </xf>
    <xf numFmtId="0" fontId="3" fillId="8" borderId="19" xfId="0" applyFont="1" applyFill="1" applyBorder="1" applyAlignment="1">
      <alignment horizontal="left" vertical="top" wrapText="1"/>
    </xf>
    <xf numFmtId="0" fontId="3" fillId="9" borderId="19" xfId="0" applyFont="1" applyFill="1" applyBorder="1" applyAlignment="1">
      <alignment horizontal="center" vertical="top" wrapText="1"/>
    </xf>
    <xf numFmtId="164" fontId="3" fillId="9" borderId="19" xfId="1" applyNumberFormat="1" applyFont="1" applyFill="1" applyBorder="1" applyAlignment="1">
      <alignment vertical="top" wrapText="1"/>
    </xf>
    <xf numFmtId="9" fontId="7" fillId="8" borderId="19" xfId="0" applyNumberFormat="1" applyFont="1" applyFill="1" applyBorder="1" applyAlignment="1">
      <alignment horizontal="center" vertical="top" wrapText="1"/>
    </xf>
    <xf numFmtId="41" fontId="7" fillId="8" borderId="20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8" borderId="18" xfId="0" applyFont="1" applyFill="1" applyBorder="1" applyAlignment="1">
      <alignment horizontal="left" vertical="top" wrapText="1"/>
    </xf>
    <xf numFmtId="0" fontId="3" fillId="8" borderId="19" xfId="0" applyFont="1" applyFill="1" applyBorder="1" applyAlignment="1">
      <alignment horizontal="center" vertical="top" wrapText="1"/>
    </xf>
    <xf numFmtId="43" fontId="3" fillId="0" borderId="19" xfId="1" applyFont="1" applyBorder="1" applyAlignment="1">
      <alignment vertical="top" wrapText="1"/>
    </xf>
    <xf numFmtId="43" fontId="3" fillId="0" borderId="0" xfId="1" applyFont="1" applyAlignment="1">
      <alignment vertical="top" wrapText="1"/>
    </xf>
    <xf numFmtId="0" fontId="3" fillId="8" borderId="19" xfId="0" applyFont="1" applyFill="1" applyBorder="1" applyAlignment="1">
      <alignment vertical="top"/>
    </xf>
    <xf numFmtId="0" fontId="3" fillId="8" borderId="19" xfId="0" applyFont="1" applyFill="1" applyBorder="1" applyAlignment="1">
      <alignment horizontal="left" vertical="top"/>
    </xf>
    <xf numFmtId="0" fontId="3" fillId="8" borderId="19" xfId="0" applyFont="1" applyFill="1" applyBorder="1" applyAlignment="1">
      <alignment vertical="top" wrapText="1"/>
    </xf>
    <xf numFmtId="0" fontId="3" fillId="9" borderId="19" xfId="0" applyFont="1" applyFill="1" applyBorder="1" applyAlignment="1">
      <alignment horizontal="left" vertical="top"/>
    </xf>
    <xf numFmtId="0" fontId="3" fillId="9" borderId="19" xfId="0" applyFont="1" applyFill="1" applyBorder="1" applyAlignment="1">
      <alignment horizontal="center" vertical="top"/>
    </xf>
    <xf numFmtId="164" fontId="3" fillId="9" borderId="19" xfId="1" applyNumberFormat="1" applyFont="1" applyFill="1" applyBorder="1" applyAlignment="1">
      <alignment vertical="top"/>
    </xf>
    <xf numFmtId="164" fontId="7" fillId="8" borderId="19" xfId="1" applyNumberFormat="1" applyFont="1" applyFill="1" applyBorder="1" applyAlignment="1">
      <alignment horizontal="left" vertical="top"/>
    </xf>
    <xf numFmtId="0" fontId="7" fillId="0" borderId="20" xfId="0" applyFont="1" applyBorder="1" applyAlignment="1">
      <alignment vertical="top"/>
    </xf>
    <xf numFmtId="0" fontId="7" fillId="4" borderId="20" xfId="0" applyFont="1" applyFill="1" applyBorder="1" applyAlignment="1">
      <alignment vertical="top"/>
    </xf>
    <xf numFmtId="0" fontId="5" fillId="4" borderId="18" xfId="2" applyNumberFormat="1" applyFont="1" applyFill="1" applyBorder="1" applyAlignment="1">
      <alignment horizontal="right" vertical="top"/>
    </xf>
    <xf numFmtId="0" fontId="3" fillId="5" borderId="18" xfId="0" applyFont="1" applyFill="1" applyBorder="1" applyAlignment="1">
      <alignment vertical="top"/>
    </xf>
    <xf numFmtId="0" fontId="3" fillId="5" borderId="19" xfId="0" applyFont="1" applyFill="1" applyBorder="1" applyAlignment="1">
      <alignment vertical="top"/>
    </xf>
    <xf numFmtId="0" fontId="3" fillId="5" borderId="20" xfId="0" applyFont="1" applyFill="1" applyBorder="1" applyAlignment="1">
      <alignment vertical="top"/>
    </xf>
    <xf numFmtId="41" fontId="3" fillId="8" borderId="0" xfId="0" applyNumberFormat="1" applyFont="1" applyFill="1" applyAlignment="1">
      <alignment vertical="top"/>
    </xf>
    <xf numFmtId="41" fontId="5" fillId="0" borderId="20" xfId="0" applyNumberFormat="1" applyFont="1" applyBorder="1" applyAlignment="1">
      <alignment horizontal="left" vertical="top"/>
    </xf>
    <xf numFmtId="41" fontId="3" fillId="0" borderId="0" xfId="0" applyNumberFormat="1" applyFont="1" applyAlignment="1">
      <alignment vertical="top"/>
    </xf>
    <xf numFmtId="0" fontId="5" fillId="3" borderId="18" xfId="2" applyNumberFormat="1" applyFont="1" applyFill="1" applyBorder="1" applyAlignment="1">
      <alignment horizontal="right" vertical="top"/>
    </xf>
    <xf numFmtId="41" fontId="5" fillId="3" borderId="20" xfId="0" applyNumberFormat="1" applyFont="1" applyFill="1" applyBorder="1" applyAlignment="1">
      <alignment horizontal="left" vertical="top"/>
    </xf>
    <xf numFmtId="41" fontId="5" fillId="3" borderId="19" xfId="0" applyNumberFormat="1" applyFont="1" applyFill="1" applyBorder="1" applyAlignment="1">
      <alignment horizontal="left" vertical="top"/>
    </xf>
    <xf numFmtId="0" fontId="3" fillId="3" borderId="18" xfId="0" applyFont="1" applyFill="1" applyBorder="1" applyAlignment="1">
      <alignment vertical="top"/>
    </xf>
    <xf numFmtId="0" fontId="3" fillId="3" borderId="19" xfId="0" applyFont="1" applyFill="1" applyBorder="1" applyAlignment="1">
      <alignment vertical="top"/>
    </xf>
    <xf numFmtId="0" fontId="3" fillId="3" borderId="20" xfId="0" applyFont="1" applyFill="1" applyBorder="1" applyAlignment="1">
      <alignment vertical="top"/>
    </xf>
    <xf numFmtId="0" fontId="7" fillId="0" borderId="19" xfId="0" applyFont="1" applyBorder="1" applyAlignment="1">
      <alignment horizontal="left" vertical="top"/>
    </xf>
    <xf numFmtId="164" fontId="7" fillId="5" borderId="19" xfId="1" applyNumberFormat="1" applyFont="1" applyFill="1" applyBorder="1" applyAlignment="1">
      <alignment vertical="top"/>
    </xf>
    <xf numFmtId="0" fontId="7" fillId="7" borderId="19" xfId="0" applyFont="1" applyFill="1" applyBorder="1" applyAlignment="1">
      <alignment horizontal="center" vertical="top"/>
    </xf>
    <xf numFmtId="41" fontId="7" fillId="7" borderId="19" xfId="0" applyNumberFormat="1" applyFont="1" applyFill="1" applyBorder="1" applyAlignment="1">
      <alignment horizontal="left" vertical="top"/>
    </xf>
    <xf numFmtId="0" fontId="7" fillId="5" borderId="18" xfId="0" applyFont="1" applyFill="1" applyBorder="1" applyAlignment="1">
      <alignment horizontal="left" vertical="top"/>
    </xf>
    <xf numFmtId="164" fontId="7" fillId="0" borderId="19" xfId="1" applyNumberFormat="1" applyFont="1" applyFill="1" applyBorder="1" applyAlignment="1">
      <alignment vertical="top"/>
    </xf>
    <xf numFmtId="0" fontId="5" fillId="4" borderId="18" xfId="2" applyNumberFormat="1" applyFont="1" applyFill="1" applyBorder="1" applyAlignment="1" applyProtection="1">
      <alignment horizontal="left" vertical="top"/>
    </xf>
    <xf numFmtId="9" fontId="7" fillId="0" borderId="19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7" borderId="18" xfId="0" applyFont="1" applyFill="1" applyBorder="1" applyAlignment="1">
      <alignment horizontal="left" vertical="top"/>
    </xf>
    <xf numFmtId="43" fontId="3" fillId="0" borderId="0" xfId="1" applyFont="1" applyAlignment="1">
      <alignment horizontal="left" vertical="top"/>
    </xf>
    <xf numFmtId="0" fontId="5" fillId="3" borderId="19" xfId="0" applyFont="1" applyFill="1" applyBorder="1" applyAlignment="1">
      <alignment horizontal="center" vertical="top"/>
    </xf>
    <xf numFmtId="0" fontId="5" fillId="3" borderId="18" xfId="0" applyFont="1" applyFill="1" applyBorder="1" applyAlignment="1">
      <alignment vertical="top"/>
    </xf>
    <xf numFmtId="0" fontId="5" fillId="0" borderId="18" xfId="0" applyFont="1" applyBorder="1" applyAlignment="1">
      <alignment horizontal="right" vertical="top"/>
    </xf>
    <xf numFmtId="0" fontId="5" fillId="0" borderId="19" xfId="0" applyFont="1" applyBorder="1" applyAlignment="1">
      <alignment horizontal="center" vertical="top"/>
    </xf>
    <xf numFmtId="41" fontId="5" fillId="0" borderId="19" xfId="0" applyNumberFormat="1" applyFont="1" applyBorder="1" applyAlignment="1">
      <alignment horizontal="left" vertical="top"/>
    </xf>
    <xf numFmtId="0" fontId="5" fillId="0" borderId="18" xfId="0" applyFont="1" applyBorder="1" applyAlignment="1">
      <alignment vertical="top"/>
    </xf>
    <xf numFmtId="41" fontId="5" fillId="3" borderId="20" xfId="1" applyNumberFormat="1" applyFont="1" applyFill="1" applyBorder="1" applyAlignment="1" applyProtection="1">
      <alignment horizontal="left" vertical="top"/>
    </xf>
    <xf numFmtId="41" fontId="5" fillId="3" borderId="18" xfId="1" applyNumberFormat="1" applyFont="1" applyFill="1" applyBorder="1" applyAlignment="1" applyProtection="1">
      <alignment horizontal="left" vertical="top"/>
    </xf>
    <xf numFmtId="0" fontId="5" fillId="3" borderId="18" xfId="1" applyNumberFormat="1" applyFont="1" applyFill="1" applyBorder="1" applyAlignment="1">
      <alignment horizontal="right" vertical="top"/>
    </xf>
    <xf numFmtId="9" fontId="7" fillId="3" borderId="19" xfId="0" applyNumberFormat="1" applyFont="1" applyFill="1" applyBorder="1" applyAlignment="1">
      <alignment vertical="top"/>
    </xf>
    <xf numFmtId="9" fontId="7" fillId="3" borderId="18" xfId="0" applyNumberFormat="1" applyFont="1" applyFill="1" applyBorder="1" applyAlignment="1">
      <alignment vertical="top"/>
    </xf>
    <xf numFmtId="0" fontId="2" fillId="0" borderId="18" xfId="0" applyFont="1" applyBorder="1" applyAlignment="1">
      <alignment horizontal="right" vertical="top"/>
    </xf>
    <xf numFmtId="0" fontId="3" fillId="0" borderId="18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2" fillId="3" borderId="18" xfId="0" applyFont="1" applyFill="1" applyBorder="1" applyAlignment="1">
      <alignment horizontal="right" vertical="top"/>
    </xf>
    <xf numFmtId="0" fontId="7" fillId="3" borderId="20" xfId="0" applyFont="1" applyFill="1" applyBorder="1" applyAlignment="1">
      <alignment vertical="top"/>
    </xf>
    <xf numFmtId="9" fontId="7" fillId="0" borderId="19" xfId="0" applyNumberFormat="1" applyFont="1" applyBorder="1" applyAlignment="1">
      <alignment vertical="top"/>
    </xf>
    <xf numFmtId="164" fontId="3" fillId="0" borderId="19" xfId="1" applyNumberFormat="1" applyFont="1" applyBorder="1" applyAlignment="1">
      <alignment vertical="top"/>
    </xf>
    <xf numFmtId="9" fontId="3" fillId="0" borderId="19" xfId="0" applyNumberFormat="1" applyFont="1" applyBorder="1" applyAlignment="1">
      <alignment vertical="top"/>
    </xf>
    <xf numFmtId="164" fontId="2" fillId="0" borderId="20" xfId="1" applyNumberFormat="1" applyFont="1" applyBorder="1" applyAlignment="1">
      <alignment vertical="top"/>
    </xf>
    <xf numFmtId="0" fontId="2" fillId="3" borderId="21" xfId="0" applyFont="1" applyFill="1" applyBorder="1" applyAlignment="1">
      <alignment horizontal="right" vertical="top"/>
    </xf>
    <xf numFmtId="0" fontId="7" fillId="3" borderId="22" xfId="0" applyFont="1" applyFill="1" applyBorder="1" applyAlignment="1">
      <alignment vertical="top"/>
    </xf>
    <xf numFmtId="41" fontId="5" fillId="3" borderId="23" xfId="0" applyNumberFormat="1" applyFont="1" applyFill="1" applyBorder="1" applyAlignment="1">
      <alignment vertical="top"/>
    </xf>
    <xf numFmtId="0" fontId="3" fillId="3" borderId="21" xfId="0" applyFont="1" applyFill="1" applyBorder="1" applyAlignment="1">
      <alignment vertical="top"/>
    </xf>
    <xf numFmtId="0" fontId="3" fillId="3" borderId="22" xfId="0" applyFont="1" applyFill="1" applyBorder="1" applyAlignment="1">
      <alignment vertical="top"/>
    </xf>
    <xf numFmtId="41" fontId="2" fillId="3" borderId="23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top"/>
    </xf>
    <xf numFmtId="49" fontId="8" fillId="0" borderId="0" xfId="0" applyNumberFormat="1" applyFont="1" applyAlignment="1">
      <alignment vertical="top"/>
    </xf>
    <xf numFmtId="49" fontId="9" fillId="0" borderId="0" xfId="1" applyNumberFormat="1" applyFont="1" applyAlignment="1">
      <alignment vertical="top"/>
    </xf>
    <xf numFmtId="49" fontId="9" fillId="0" borderId="0" xfId="1" applyNumberFormat="1" applyFont="1" applyAlignment="1">
      <alignment vertical="top" wrapText="1"/>
    </xf>
    <xf numFmtId="0" fontId="9" fillId="0" borderId="0" xfId="0" applyFont="1" applyAlignment="1">
      <alignment vertical="top"/>
    </xf>
    <xf numFmtId="49" fontId="9" fillId="0" borderId="0" xfId="0" applyNumberFormat="1" applyFont="1" applyAlignment="1">
      <alignment vertical="top"/>
    </xf>
    <xf numFmtId="49" fontId="9" fillId="0" borderId="0" xfId="1" applyNumberFormat="1" applyFont="1" applyAlignment="1">
      <alignment horizontal="left" vertical="top"/>
    </xf>
    <xf numFmtId="0" fontId="3" fillId="0" borderId="0" xfId="0" applyFont="1"/>
    <xf numFmtId="41" fontId="7" fillId="3" borderId="24" xfId="0" applyNumberFormat="1" applyFont="1" applyFill="1" applyBorder="1" applyAlignment="1">
      <alignment horizontal="left" vertical="top"/>
    </xf>
    <xf numFmtId="41" fontId="7" fillId="4" borderId="25" xfId="0" applyNumberFormat="1" applyFont="1" applyFill="1" applyBorder="1" applyAlignment="1">
      <alignment horizontal="left" vertical="top"/>
    </xf>
    <xf numFmtId="41" fontId="7" fillId="5" borderId="25" xfId="0" applyNumberFormat="1" applyFont="1" applyFill="1" applyBorder="1" applyAlignment="1">
      <alignment horizontal="left" vertical="top"/>
    </xf>
    <xf numFmtId="41" fontId="7" fillId="0" borderId="25" xfId="0" applyNumberFormat="1" applyFont="1" applyBorder="1" applyAlignment="1">
      <alignment horizontal="left" vertical="top"/>
    </xf>
    <xf numFmtId="41" fontId="5" fillId="8" borderId="25" xfId="0" applyNumberFormat="1" applyFont="1" applyFill="1" applyBorder="1" applyAlignment="1">
      <alignment horizontal="left" vertical="top"/>
    </xf>
    <xf numFmtId="0" fontId="3" fillId="4" borderId="25" xfId="0" applyFont="1" applyFill="1" applyBorder="1" applyAlignment="1">
      <alignment vertical="top"/>
    </xf>
    <xf numFmtId="0" fontId="7" fillId="0" borderId="25" xfId="0" applyFont="1" applyBorder="1" applyAlignment="1">
      <alignment vertical="top"/>
    </xf>
    <xf numFmtId="0" fontId="7" fillId="4" borderId="25" xfId="0" applyFont="1" applyFill="1" applyBorder="1" applyAlignment="1">
      <alignment vertical="top"/>
    </xf>
    <xf numFmtId="0" fontId="3" fillId="5" borderId="25" xfId="0" applyFont="1" applyFill="1" applyBorder="1" applyAlignment="1">
      <alignment vertical="top"/>
    </xf>
    <xf numFmtId="41" fontId="5" fillId="0" borderId="25" xfId="0" applyNumberFormat="1" applyFont="1" applyBorder="1" applyAlignment="1">
      <alignment horizontal="left" vertical="top"/>
    </xf>
    <xf numFmtId="41" fontId="5" fillId="3" borderId="25" xfId="0" applyNumberFormat="1" applyFont="1" applyFill="1" applyBorder="1" applyAlignment="1">
      <alignment horizontal="left" vertical="top"/>
    </xf>
    <xf numFmtId="0" fontId="3" fillId="3" borderId="25" xfId="0" applyFont="1" applyFill="1" applyBorder="1" applyAlignment="1">
      <alignment vertical="top"/>
    </xf>
    <xf numFmtId="41" fontId="7" fillId="3" borderId="25" xfId="0" applyNumberFormat="1" applyFont="1" applyFill="1" applyBorder="1" applyAlignment="1">
      <alignment horizontal="left" vertical="top"/>
    </xf>
    <xf numFmtId="41" fontId="5" fillId="3" borderId="25" xfId="1" applyNumberFormat="1" applyFont="1" applyFill="1" applyBorder="1" applyAlignment="1" applyProtection="1">
      <alignment horizontal="left" vertical="top"/>
    </xf>
    <xf numFmtId="0" fontId="3" fillId="0" borderId="25" xfId="0" applyFont="1" applyBorder="1" applyAlignment="1">
      <alignment vertical="top"/>
    </xf>
    <xf numFmtId="164" fontId="2" fillId="0" borderId="25" xfId="1" applyNumberFormat="1" applyFont="1" applyBorder="1" applyAlignment="1">
      <alignment vertical="top"/>
    </xf>
    <xf numFmtId="41" fontId="2" fillId="3" borderId="26" xfId="0" applyNumberFormat="1" applyFont="1" applyFill="1" applyBorder="1" applyAlignment="1">
      <alignment vertical="top"/>
    </xf>
    <xf numFmtId="43" fontId="3" fillId="0" borderId="27" xfId="1" applyFont="1" applyBorder="1" applyAlignment="1">
      <alignment vertical="top"/>
    </xf>
    <xf numFmtId="43" fontId="3" fillId="6" borderId="27" xfId="1" applyFont="1" applyFill="1" applyBorder="1" applyAlignment="1">
      <alignment vertical="top"/>
    </xf>
    <xf numFmtId="0" fontId="7" fillId="6" borderId="25" xfId="0" applyFont="1" applyFill="1" applyBorder="1" applyAlignment="1">
      <alignment vertical="top"/>
    </xf>
    <xf numFmtId="167" fontId="7" fillId="6" borderId="25" xfId="0" applyNumberFormat="1" applyFont="1" applyFill="1" applyBorder="1" applyAlignment="1">
      <alignment horizontal="left" vertical="top"/>
    </xf>
    <xf numFmtId="41" fontId="7" fillId="6" borderId="25" xfId="0" applyNumberFormat="1" applyFont="1" applyFill="1" applyBorder="1" applyAlignment="1">
      <alignment horizontal="left" vertical="top"/>
    </xf>
    <xf numFmtId="0" fontId="3" fillId="6" borderId="25" xfId="0" applyFont="1" applyFill="1" applyBorder="1" applyAlignment="1">
      <alignment vertical="top"/>
    </xf>
    <xf numFmtId="43" fontId="3" fillId="0" borderId="0" xfId="0" applyNumberFormat="1" applyFont="1" applyAlignment="1">
      <alignment vertical="top"/>
    </xf>
    <xf numFmtId="41" fontId="7" fillId="0" borderId="26" xfId="0" applyNumberFormat="1" applyFont="1" applyBorder="1" applyAlignment="1">
      <alignment horizontal="left" vertical="top"/>
    </xf>
    <xf numFmtId="41" fontId="5" fillId="0" borderId="24" xfId="0" applyNumberFormat="1" applyFont="1" applyBorder="1" applyAlignment="1">
      <alignment horizontal="left" vertical="top"/>
    </xf>
    <xf numFmtId="0" fontId="3" fillId="2" borderId="7" xfId="0" applyFont="1" applyFill="1" applyBorder="1" applyAlignment="1">
      <alignment vertical="top" wrapText="1"/>
    </xf>
    <xf numFmtId="0" fontId="5" fillId="3" borderId="19" xfId="0" applyFont="1" applyFill="1" applyBorder="1" applyAlignment="1">
      <alignment vertical="top" wrapText="1"/>
    </xf>
    <xf numFmtId="0" fontId="5" fillId="8" borderId="19" xfId="0" applyFont="1" applyFill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7" fillId="0" borderId="19" xfId="0" applyFont="1" applyBorder="1" applyAlignment="1">
      <alignment horizontal="left" vertical="top" wrapText="1"/>
    </xf>
    <xf numFmtId="0" fontId="7" fillId="8" borderId="19" xfId="0" applyFont="1" applyFill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3" borderId="22" xfId="0" applyFont="1" applyFill="1" applyBorder="1" applyAlignment="1">
      <alignment vertical="top" wrapText="1"/>
    </xf>
    <xf numFmtId="41" fontId="7" fillId="0" borderId="25" xfId="0" applyNumberFormat="1" applyFont="1" applyFill="1" applyBorder="1" applyAlignment="1">
      <alignment horizontal="left" vertical="top"/>
    </xf>
    <xf numFmtId="164" fontId="5" fillId="11" borderId="18" xfId="1" applyNumberFormat="1" applyFont="1" applyFill="1" applyBorder="1" applyAlignment="1">
      <alignment horizontal="left" vertical="top"/>
    </xf>
    <xf numFmtId="43" fontId="3" fillId="0" borderId="19" xfId="1" applyFont="1" applyFill="1" applyBorder="1" applyAlignment="1">
      <alignment vertical="top"/>
    </xf>
    <xf numFmtId="0" fontId="3" fillId="11" borderId="0" xfId="0" applyFont="1" applyFill="1" applyAlignment="1">
      <alignment vertical="top" wrapText="1"/>
    </xf>
    <xf numFmtId="43" fontId="7" fillId="6" borderId="27" xfId="1" applyFont="1" applyFill="1" applyBorder="1" applyAlignment="1">
      <alignment vertical="top"/>
    </xf>
    <xf numFmtId="0" fontId="3" fillId="10" borderId="0" xfId="0" applyFont="1" applyFill="1" applyAlignment="1">
      <alignment vertical="top" wrapText="1"/>
    </xf>
    <xf numFmtId="43" fontId="4" fillId="0" borderId="0" xfId="1" applyFont="1" applyFill="1" applyAlignment="1">
      <alignment vertical="top"/>
    </xf>
    <xf numFmtId="0" fontId="3" fillId="0" borderId="0" xfId="0" applyFont="1" applyFill="1" applyAlignment="1">
      <alignment vertical="top"/>
    </xf>
    <xf numFmtId="43" fontId="2" fillId="0" borderId="25" xfId="0" applyNumberFormat="1" applyFont="1" applyFill="1" applyBorder="1" applyAlignment="1">
      <alignment vertical="top"/>
    </xf>
    <xf numFmtId="0" fontId="3" fillId="6" borderId="0" xfId="0" applyFont="1" applyFill="1" applyAlignment="1">
      <alignment vertical="top" wrapText="1"/>
    </xf>
    <xf numFmtId="0" fontId="3" fillId="6" borderId="0" xfId="0" applyFont="1" applyFill="1" applyAlignment="1">
      <alignment vertical="top"/>
    </xf>
    <xf numFmtId="0" fontId="0" fillId="0" borderId="0" xfId="0"/>
    <xf numFmtId="0" fontId="7" fillId="0" borderId="19" xfId="0" applyFont="1" applyFill="1" applyBorder="1" applyAlignment="1">
      <alignment vertical="top" wrapText="1"/>
    </xf>
    <xf numFmtId="0" fontId="7" fillId="0" borderId="19" xfId="0" applyFont="1" applyFill="1" applyBorder="1" applyAlignment="1">
      <alignment vertical="top"/>
    </xf>
    <xf numFmtId="0" fontId="7" fillId="0" borderId="19" xfId="0" applyFont="1" applyFill="1" applyBorder="1" applyAlignment="1">
      <alignment horizontal="center" vertical="top"/>
    </xf>
    <xf numFmtId="41" fontId="7" fillId="0" borderId="19" xfId="0" applyNumberFormat="1" applyFont="1" applyFill="1" applyBorder="1" applyAlignment="1">
      <alignment horizontal="left" vertical="top"/>
    </xf>
    <xf numFmtId="9" fontId="7" fillId="0" borderId="19" xfId="0" applyNumberFormat="1" applyFont="1" applyFill="1" applyBorder="1" applyAlignment="1">
      <alignment horizontal="center" vertical="top"/>
    </xf>
    <xf numFmtId="41" fontId="7" fillId="0" borderId="20" xfId="0" applyNumberFormat="1" applyFont="1" applyFill="1" applyBorder="1" applyAlignment="1">
      <alignment horizontal="left" vertical="top"/>
    </xf>
    <xf numFmtId="0" fontId="7" fillId="0" borderId="18" xfId="0" applyFont="1" applyFill="1" applyBorder="1" applyAlignment="1">
      <alignment vertical="top"/>
    </xf>
    <xf numFmtId="43" fontId="7" fillId="0" borderId="19" xfId="1" applyFont="1" applyFill="1" applyBorder="1" applyAlignment="1">
      <alignment vertical="top"/>
    </xf>
    <xf numFmtId="43" fontId="7" fillId="0" borderId="19" xfId="1" applyFont="1" applyBorder="1" applyAlignment="1">
      <alignment vertical="top"/>
    </xf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43" fontId="3" fillId="0" borderId="0" xfId="1" applyFont="1" applyFill="1" applyAlignment="1">
      <alignment vertical="top"/>
    </xf>
    <xf numFmtId="0" fontId="5" fillId="4" borderId="19" xfId="0" applyFont="1" applyFill="1" applyBorder="1" applyAlignment="1">
      <alignment vertical="top"/>
    </xf>
    <xf numFmtId="41" fontId="5" fillId="6" borderId="25" xfId="0" applyNumberFormat="1" applyFont="1" applyFill="1" applyBorder="1" applyAlignment="1">
      <alignment horizontal="left" vertical="top"/>
    </xf>
    <xf numFmtId="164" fontId="2" fillId="6" borderId="25" xfId="1" applyNumberFormat="1" applyFont="1" applyFill="1" applyBorder="1" applyAlignment="1">
      <alignment vertical="top"/>
    </xf>
    <xf numFmtId="164" fontId="5" fillId="3" borderId="20" xfId="1" applyNumberFormat="1" applyFont="1" applyFill="1" applyBorder="1" applyAlignment="1">
      <alignment vertical="top"/>
    </xf>
    <xf numFmtId="41" fontId="7" fillId="3" borderId="20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right"/>
    </xf>
    <xf numFmtId="43" fontId="3" fillId="0" borderId="0" xfId="0" applyNumberFormat="1" applyFont="1"/>
    <xf numFmtId="0" fontId="3" fillId="0" borderId="7" xfId="0" applyFont="1" applyBorder="1"/>
    <xf numFmtId="0" fontId="3" fillId="6" borderId="0" xfId="0" applyFont="1" applyFill="1"/>
    <xf numFmtId="0" fontId="10" fillId="6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164" fontId="3" fillId="0" borderId="0" xfId="0" applyNumberFormat="1" applyFont="1"/>
    <xf numFmtId="164" fontId="3" fillId="0" borderId="7" xfId="0" applyNumberFormat="1" applyFont="1" applyBorder="1"/>
    <xf numFmtId="164" fontId="3" fillId="6" borderId="0" xfId="0" applyNumberFormat="1" applyFont="1" applyFill="1"/>
    <xf numFmtId="164" fontId="3" fillId="0" borderId="0" xfId="0" applyNumberFormat="1" applyFont="1" applyAlignment="1">
      <alignment vertical="top"/>
    </xf>
    <xf numFmtId="164" fontId="3" fillId="0" borderId="7" xfId="0" applyNumberFormat="1" applyFont="1" applyBorder="1" applyAlignment="1">
      <alignment vertical="top"/>
    </xf>
    <xf numFmtId="164" fontId="3" fillId="6" borderId="0" xfId="0" applyNumberFormat="1" applyFont="1" applyFill="1" applyAlignment="1">
      <alignment vertical="top"/>
    </xf>
    <xf numFmtId="164" fontId="3" fillId="6" borderId="7" xfId="0" applyNumberFormat="1" applyFont="1" applyFill="1" applyBorder="1" applyAlignment="1">
      <alignment vertical="top"/>
    </xf>
    <xf numFmtId="164" fontId="2" fillId="6" borderId="25" xfId="0" applyNumberFormat="1" applyFont="1" applyFill="1" applyBorder="1" applyAlignment="1">
      <alignment vertical="top"/>
    </xf>
    <xf numFmtId="164" fontId="2" fillId="3" borderId="25" xfId="0" applyNumberFormat="1" applyFont="1" applyFill="1" applyBorder="1" applyAlignment="1">
      <alignment vertical="top"/>
    </xf>
    <xf numFmtId="0" fontId="2" fillId="6" borderId="0" xfId="0" applyFont="1" applyFill="1" applyAlignment="1">
      <alignment vertical="top" wrapText="1"/>
    </xf>
    <xf numFmtId="164" fontId="4" fillId="0" borderId="7" xfId="0" applyNumberFormat="1" applyFont="1" applyBorder="1" applyAlignment="1">
      <alignment vertical="top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6" fontId="11" fillId="0" borderId="19" xfId="0" applyNumberFormat="1" applyFont="1" applyBorder="1" applyAlignment="1">
      <alignment vertical="top"/>
    </xf>
    <xf numFmtId="166" fontId="11" fillId="3" borderId="22" xfId="0" applyNumberFormat="1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6" borderId="0" xfId="0" applyFont="1" applyFill="1" applyBorder="1" applyAlignment="1">
      <alignment vertical="top"/>
    </xf>
    <xf numFmtId="0" fontId="3" fillId="6" borderId="7" xfId="0" applyFont="1" applyFill="1" applyBorder="1" applyAlignment="1">
      <alignment vertical="top"/>
    </xf>
    <xf numFmtId="1" fontId="5" fillId="6" borderId="0" xfId="1" applyNumberFormat="1" applyFont="1" applyFill="1" applyBorder="1" applyAlignment="1">
      <alignment horizontal="center" vertical="top" wrapText="1"/>
    </xf>
    <xf numFmtId="41" fontId="5" fillId="6" borderId="0" xfId="0" applyNumberFormat="1" applyFont="1" applyFill="1" applyBorder="1" applyAlignment="1">
      <alignment horizontal="center" vertical="top" wrapText="1"/>
    </xf>
    <xf numFmtId="0" fontId="7" fillId="0" borderId="19" xfId="0" applyFont="1" applyFill="1" applyBorder="1" applyAlignment="1">
      <alignment horizontal="right" vertical="top"/>
    </xf>
    <xf numFmtId="41" fontId="5" fillId="8" borderId="19" xfId="0" applyNumberFormat="1" applyFont="1" applyFill="1" applyBorder="1" applyAlignment="1">
      <alignment horizontal="left" vertical="top"/>
    </xf>
    <xf numFmtId="0" fontId="5" fillId="4" borderId="19" xfId="0" applyFont="1" applyFill="1" applyBorder="1" applyAlignment="1">
      <alignment horizontal="left" vertical="top" wrapText="1"/>
    </xf>
    <xf numFmtId="0" fontId="5" fillId="4" borderId="20" xfId="0" applyFont="1" applyFill="1" applyBorder="1" applyAlignment="1">
      <alignment horizontal="left" vertical="top" wrapText="1"/>
    </xf>
    <xf numFmtId="0" fontId="5" fillId="3" borderId="19" xfId="0" applyFont="1" applyFill="1" applyBorder="1" applyAlignment="1">
      <alignment horizontal="left" vertical="top" wrapText="1"/>
    </xf>
    <xf numFmtId="0" fontId="5" fillId="3" borderId="20" xfId="0" applyFont="1" applyFill="1" applyBorder="1" applyAlignment="1">
      <alignment horizontal="left" vertical="top" wrapText="1"/>
    </xf>
    <xf numFmtId="0" fontId="2" fillId="6" borderId="11" xfId="0" applyFont="1" applyFill="1" applyBorder="1" applyAlignment="1">
      <alignment horizontal="center" vertical="top"/>
    </xf>
    <xf numFmtId="0" fontId="2" fillId="6" borderId="9" xfId="0" applyFont="1" applyFill="1" applyBorder="1" applyAlignment="1">
      <alignment horizontal="center" vertical="top"/>
    </xf>
    <xf numFmtId="0" fontId="4" fillId="0" borderId="0" xfId="0" applyFont="1" applyAlignment="1">
      <alignment vertical="top" wrapText="1"/>
    </xf>
    <xf numFmtId="43" fontId="9" fillId="0" borderId="0" xfId="1" applyFont="1" applyAlignment="1">
      <alignment vertical="top" wrapText="1"/>
    </xf>
    <xf numFmtId="43" fontId="9" fillId="0" borderId="0" xfId="1" applyFont="1" applyAlignment="1">
      <alignment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8"/>
  <sheetViews>
    <sheetView tabSelected="1" zoomScale="97" zoomScaleNormal="97" workbookViewId="0">
      <pane ySplit="9" topLeftCell="A10" activePane="bottomLeft" state="frozen"/>
      <selection pane="bottomLeft" activeCell="C4" sqref="C4"/>
    </sheetView>
  </sheetViews>
  <sheetFormatPr defaultColWidth="9" defaultRowHeight="12" outlineLevelCol="1" x14ac:dyDescent="0.3"/>
  <cols>
    <col min="1" max="1" width="6.33203125" style="162" customWidth="1"/>
    <col min="2" max="2" width="23.33203125" style="97" customWidth="1"/>
    <col min="3" max="3" width="35" style="4" customWidth="1" outlineLevel="1"/>
    <col min="4" max="4" width="10.44140625" style="4" customWidth="1" outlineLevel="1"/>
    <col min="5" max="5" width="10" style="4" customWidth="1" outlineLevel="1"/>
    <col min="6" max="6" width="9" style="4" customWidth="1" outlineLevel="1"/>
    <col min="7" max="7" width="10" style="4" customWidth="1" outlineLevel="1"/>
    <col min="8" max="8" width="9.88671875" style="4" bestFit="1" customWidth="1"/>
    <col min="9" max="9" width="1.88671875" style="4" customWidth="1"/>
    <col min="10" max="10" width="9" style="4" hidden="1" customWidth="1"/>
    <col min="11" max="11" width="10" style="4" hidden="1" customWidth="1"/>
    <col min="12" max="12" width="9" style="4" hidden="1" customWidth="1"/>
    <col min="13" max="13" width="10" style="4" hidden="1" customWidth="1"/>
    <col min="14" max="14" width="9" style="4" hidden="1" customWidth="1"/>
    <col min="15" max="17" width="9" style="4" customWidth="1"/>
    <col min="18" max="18" width="13.6640625" style="4" customWidth="1"/>
    <col min="19" max="19" width="10.5546875" style="4" customWidth="1"/>
    <col min="20" max="20" width="46.88671875" style="167" customWidth="1"/>
    <col min="21" max="21" width="9" style="4"/>
    <col min="22" max="22" width="52" style="4" customWidth="1"/>
    <col min="23" max="16384" width="9" style="4"/>
  </cols>
  <sheetData>
    <row r="1" spans="1:23" x14ac:dyDescent="0.3">
      <c r="A1" s="1"/>
      <c r="B1" s="254" t="s">
        <v>0</v>
      </c>
      <c r="C1" s="2"/>
      <c r="D1" s="2"/>
      <c r="E1" s="2"/>
      <c r="F1" s="2"/>
      <c r="G1" s="2"/>
      <c r="H1" s="3"/>
      <c r="J1" s="5"/>
      <c r="K1" s="2"/>
      <c r="L1" s="2"/>
      <c r="M1" s="2"/>
      <c r="N1" s="2"/>
      <c r="O1" s="255"/>
      <c r="P1" s="255"/>
      <c r="Q1" s="255"/>
      <c r="R1" s="255"/>
      <c r="S1" s="255"/>
    </row>
    <row r="2" spans="1:23" x14ac:dyDescent="0.3">
      <c r="A2" s="7"/>
      <c r="B2" s="7" t="s">
        <v>1</v>
      </c>
      <c r="C2" s="8" t="s">
        <v>2</v>
      </c>
      <c r="D2" s="8"/>
      <c r="E2" s="9"/>
      <c r="F2" s="9"/>
      <c r="G2" s="9"/>
      <c r="H2" s="10"/>
      <c r="J2" s="11"/>
      <c r="K2" s="9"/>
      <c r="L2" s="9"/>
      <c r="M2" s="9"/>
      <c r="N2" s="9"/>
      <c r="O2" s="214"/>
      <c r="P2" s="214"/>
      <c r="Q2" s="214"/>
      <c r="R2" s="214"/>
      <c r="S2" s="214"/>
    </row>
    <row r="3" spans="1:23" x14ac:dyDescent="0.3">
      <c r="A3" s="7"/>
      <c r="B3" s="7" t="s">
        <v>3</v>
      </c>
      <c r="C3" s="8" t="s">
        <v>4</v>
      </c>
      <c r="D3" s="8"/>
      <c r="E3" s="9"/>
      <c r="F3" s="9"/>
      <c r="G3" s="9"/>
      <c r="H3" s="10"/>
      <c r="J3" s="11"/>
      <c r="K3" s="9"/>
      <c r="L3" s="9"/>
      <c r="M3" s="9"/>
      <c r="N3" s="9"/>
      <c r="O3" s="214"/>
      <c r="P3" s="214"/>
      <c r="Q3" s="214"/>
      <c r="R3" s="214"/>
      <c r="S3" s="214"/>
    </row>
    <row r="4" spans="1:23" x14ac:dyDescent="0.3">
      <c r="A4" s="7"/>
      <c r="B4" s="7" t="s">
        <v>5</v>
      </c>
      <c r="C4" s="8" t="s">
        <v>6</v>
      </c>
      <c r="D4" s="8"/>
      <c r="E4" s="9"/>
      <c r="F4" s="9"/>
      <c r="G4" s="9"/>
      <c r="H4" s="10"/>
      <c r="J4" s="11"/>
      <c r="K4" s="9"/>
      <c r="L4" s="9"/>
      <c r="M4" s="9"/>
      <c r="N4" s="9"/>
      <c r="O4" s="214"/>
      <c r="P4" s="214"/>
      <c r="Q4" s="214"/>
      <c r="R4" s="214"/>
      <c r="S4" s="214"/>
    </row>
    <row r="5" spans="1:23" x14ac:dyDescent="0.3">
      <c r="A5" s="7"/>
      <c r="B5" s="7" t="s">
        <v>7</v>
      </c>
      <c r="C5" s="8" t="s">
        <v>228</v>
      </c>
      <c r="D5" s="8"/>
      <c r="E5" s="9"/>
      <c r="F5" s="9"/>
      <c r="G5" s="9"/>
      <c r="H5" s="10"/>
      <c r="J5" s="11"/>
      <c r="K5" s="9"/>
      <c r="L5" s="12"/>
      <c r="M5" s="9"/>
      <c r="N5" s="9"/>
      <c r="O5" s="214"/>
      <c r="P5" s="214"/>
      <c r="Q5" s="214"/>
      <c r="R5" s="214"/>
      <c r="S5" s="214"/>
    </row>
    <row r="6" spans="1:23" x14ac:dyDescent="0.3">
      <c r="A6" s="7"/>
      <c r="B6" s="7" t="s">
        <v>197</v>
      </c>
      <c r="C6" s="13" t="s">
        <v>198</v>
      </c>
      <c r="D6" s="8"/>
      <c r="E6" s="9"/>
      <c r="F6" s="9"/>
      <c r="G6" s="9"/>
      <c r="H6" s="10"/>
      <c r="J6" s="11"/>
      <c r="K6" s="9"/>
      <c r="L6" s="12"/>
      <c r="M6" s="9"/>
      <c r="N6" s="9"/>
      <c r="O6" s="214"/>
      <c r="P6" s="214"/>
      <c r="Q6" s="214"/>
      <c r="R6" s="214"/>
      <c r="S6" s="214"/>
    </row>
    <row r="7" spans="1:23" x14ac:dyDescent="0.3">
      <c r="A7" s="14"/>
      <c r="B7" s="14" t="s">
        <v>209</v>
      </c>
      <c r="C7" s="16">
        <v>44474</v>
      </c>
      <c r="D7" s="15"/>
      <c r="E7" s="15"/>
      <c r="F7" s="15"/>
      <c r="G7" s="15"/>
      <c r="H7" s="17"/>
      <c r="J7" s="18"/>
      <c r="K7" s="15"/>
      <c r="L7" s="15"/>
      <c r="M7" s="15"/>
      <c r="N7" s="15"/>
      <c r="O7" s="256"/>
      <c r="P7" s="256"/>
      <c r="Q7" s="256"/>
      <c r="R7" s="256"/>
      <c r="S7" s="256"/>
    </row>
    <row r="8" spans="1:23" ht="12" customHeight="1" x14ac:dyDescent="0.3">
      <c r="A8" s="14"/>
      <c r="B8" s="196"/>
      <c r="C8" s="16"/>
      <c r="D8" s="19"/>
      <c r="E8" s="22" t="s">
        <v>210</v>
      </c>
      <c r="F8" s="22"/>
      <c r="G8" s="19"/>
      <c r="H8" s="20"/>
      <c r="J8" s="21"/>
      <c r="K8" s="19"/>
      <c r="L8" s="22" t="s">
        <v>8</v>
      </c>
      <c r="M8" s="19"/>
      <c r="N8" s="20"/>
      <c r="O8" s="265" t="s">
        <v>211</v>
      </c>
      <c r="P8" s="266"/>
      <c r="Q8" s="266"/>
      <c r="R8" s="266"/>
      <c r="S8" s="266"/>
    </row>
    <row r="9" spans="1:23" ht="36" x14ac:dyDescent="0.3">
      <c r="A9" s="23"/>
      <c r="B9" s="24" t="s">
        <v>9</v>
      </c>
      <c r="C9" s="24" t="s">
        <v>10</v>
      </c>
      <c r="D9" s="25" t="s">
        <v>11</v>
      </c>
      <c r="E9" s="26" t="s">
        <v>12</v>
      </c>
      <c r="F9" s="27" t="s">
        <v>13</v>
      </c>
      <c r="G9" s="28" t="s">
        <v>14</v>
      </c>
      <c r="H9" s="29" t="s">
        <v>182</v>
      </c>
      <c r="J9" s="30" t="s">
        <v>11</v>
      </c>
      <c r="K9" s="31" t="s">
        <v>12</v>
      </c>
      <c r="L9" s="32" t="s">
        <v>13</v>
      </c>
      <c r="M9" s="33" t="s">
        <v>14</v>
      </c>
      <c r="N9" s="34" t="s">
        <v>15</v>
      </c>
      <c r="O9" s="257" t="s">
        <v>194</v>
      </c>
      <c r="P9" s="257" t="s">
        <v>195</v>
      </c>
      <c r="Q9" s="257" t="s">
        <v>196</v>
      </c>
      <c r="R9" s="258" t="s">
        <v>199</v>
      </c>
      <c r="S9" s="258" t="s">
        <v>186</v>
      </c>
      <c r="T9" s="163" t="s">
        <v>16</v>
      </c>
    </row>
    <row r="10" spans="1:23" x14ac:dyDescent="0.3">
      <c r="A10" s="35">
        <v>1</v>
      </c>
      <c r="B10" s="197" t="s">
        <v>17</v>
      </c>
      <c r="C10" s="37"/>
      <c r="D10" s="37"/>
      <c r="E10" s="38"/>
      <c r="F10" s="39"/>
      <c r="G10" s="40"/>
      <c r="H10" s="41"/>
      <c r="J10" s="42"/>
      <c r="K10" s="43"/>
      <c r="L10" s="39"/>
      <c r="M10" s="40"/>
      <c r="N10" s="41"/>
      <c r="O10" s="170"/>
      <c r="P10" s="170"/>
      <c r="Q10" s="170"/>
      <c r="R10" s="170"/>
      <c r="S10" s="170"/>
    </row>
    <row r="11" spans="1:23" x14ac:dyDescent="0.3">
      <c r="A11" s="44">
        <v>1.1000000000000001</v>
      </c>
      <c r="B11" s="228" t="s">
        <v>18</v>
      </c>
      <c r="C11" s="45"/>
      <c r="D11" s="45"/>
      <c r="E11" s="46"/>
      <c r="F11" s="47"/>
      <c r="G11" s="48"/>
      <c r="H11" s="49">
        <f>E11*F11</f>
        <v>0</v>
      </c>
      <c r="J11" s="50"/>
      <c r="K11" s="46"/>
      <c r="L11" s="47"/>
      <c r="M11" s="48"/>
      <c r="N11" s="49">
        <f>K11*L11</f>
        <v>0</v>
      </c>
      <c r="O11" s="171"/>
      <c r="P11" s="171"/>
      <c r="Q11" s="171"/>
      <c r="R11" s="171"/>
      <c r="S11" s="171"/>
      <c r="T11" s="164"/>
      <c r="U11" s="6"/>
      <c r="V11" s="6"/>
      <c r="W11" s="6"/>
    </row>
    <row r="12" spans="1:23" ht="36" x14ac:dyDescent="0.3">
      <c r="A12" s="44" t="s">
        <v>19</v>
      </c>
      <c r="B12" s="53" t="s">
        <v>20</v>
      </c>
      <c r="C12" s="53" t="s">
        <v>21</v>
      </c>
      <c r="D12" s="52" t="s">
        <v>22</v>
      </c>
      <c r="E12" s="54">
        <v>1</v>
      </c>
      <c r="F12" s="55">
        <v>20000</v>
      </c>
      <c r="G12" s="56">
        <v>1</v>
      </c>
      <c r="H12" s="41">
        <f t="shared" ref="H12:H17" si="0">E12*F12*G12</f>
        <v>20000</v>
      </c>
      <c r="J12" s="58" t="s">
        <v>22</v>
      </c>
      <c r="K12" s="54">
        <v>1</v>
      </c>
      <c r="L12" s="55">
        <v>20000</v>
      </c>
      <c r="M12" s="56">
        <v>1</v>
      </c>
      <c r="N12" s="57">
        <f t="shared" ref="N12:N15" si="1">K12*L12*M12</f>
        <v>20000</v>
      </c>
      <c r="O12" s="218">
        <v>17949.310000000001</v>
      </c>
      <c r="P12" s="218">
        <v>2000</v>
      </c>
      <c r="Q12" s="218">
        <v>0</v>
      </c>
      <c r="R12" s="188">
        <f>O12+P12+Q12</f>
        <v>19949.310000000001</v>
      </c>
      <c r="S12" s="187">
        <f>H12-R12</f>
        <v>50.68999999999869</v>
      </c>
      <c r="U12" s="6"/>
      <c r="V12" s="6"/>
      <c r="W12" s="6"/>
    </row>
    <row r="13" spans="1:23" ht="36" x14ac:dyDescent="0.3">
      <c r="A13" s="44" t="s">
        <v>23</v>
      </c>
      <c r="B13" s="61" t="s">
        <v>24</v>
      </c>
      <c r="C13" s="61" t="s">
        <v>25</v>
      </c>
      <c r="D13" s="60" t="s">
        <v>26</v>
      </c>
      <c r="E13" s="62">
        <v>18</v>
      </c>
      <c r="F13" s="63">
        <v>250</v>
      </c>
      <c r="G13" s="64">
        <v>1</v>
      </c>
      <c r="H13" s="41">
        <f t="shared" si="0"/>
        <v>4500</v>
      </c>
      <c r="J13" s="66" t="s">
        <v>26</v>
      </c>
      <c r="K13" s="62">
        <v>12</v>
      </c>
      <c r="L13" s="63">
        <v>250</v>
      </c>
      <c r="M13" s="64">
        <v>1</v>
      </c>
      <c r="N13" s="65">
        <f t="shared" si="1"/>
        <v>3000</v>
      </c>
      <c r="O13" s="218">
        <v>324.33</v>
      </c>
      <c r="P13" s="218">
        <v>3142.59</v>
      </c>
      <c r="Q13" s="218">
        <v>927.63</v>
      </c>
      <c r="R13" s="188">
        <f>O13+P13+Q13</f>
        <v>4394.55</v>
      </c>
      <c r="S13" s="187">
        <f t="shared" ref="S13:S17" si="2">H13-R13</f>
        <v>105.44999999999982</v>
      </c>
      <c r="T13" s="268" t="s">
        <v>215</v>
      </c>
      <c r="U13" s="6"/>
      <c r="W13" s="6"/>
    </row>
    <row r="14" spans="1:23" x14ac:dyDescent="0.3">
      <c r="A14" s="44" t="s">
        <v>27</v>
      </c>
      <c r="B14" s="61" t="s">
        <v>28</v>
      </c>
      <c r="C14" s="60" t="s">
        <v>29</v>
      </c>
      <c r="D14" s="60" t="s">
        <v>26</v>
      </c>
      <c r="E14" s="62">
        <v>18</v>
      </c>
      <c r="F14" s="63">
        <v>100</v>
      </c>
      <c r="G14" s="64">
        <v>1</v>
      </c>
      <c r="H14" s="41">
        <f t="shared" si="0"/>
        <v>1800</v>
      </c>
      <c r="J14" s="66" t="s">
        <v>26</v>
      </c>
      <c r="K14" s="62">
        <v>12</v>
      </c>
      <c r="L14" s="63">
        <v>100</v>
      </c>
      <c r="M14" s="64">
        <v>1</v>
      </c>
      <c r="N14" s="65">
        <f t="shared" si="1"/>
        <v>1200</v>
      </c>
      <c r="O14" s="218">
        <v>158.16999999999999</v>
      </c>
      <c r="P14" s="218">
        <v>1738.43</v>
      </c>
      <c r="Q14" s="218"/>
      <c r="R14" s="188">
        <f t="shared" ref="R14:R17" si="3">O14+P14+Q14</f>
        <v>1896.6000000000001</v>
      </c>
      <c r="S14" s="187">
        <f t="shared" si="2"/>
        <v>-96.600000000000136</v>
      </c>
      <c r="T14" s="165" t="s">
        <v>212</v>
      </c>
      <c r="U14" s="6"/>
      <c r="V14" s="101"/>
      <c r="W14" s="6"/>
    </row>
    <row r="15" spans="1:23" x14ac:dyDescent="0.3">
      <c r="A15" s="44" t="s">
        <v>30</v>
      </c>
      <c r="B15" s="53" t="s">
        <v>31</v>
      </c>
      <c r="C15" s="60" t="s">
        <v>32</v>
      </c>
      <c r="D15" s="60" t="s">
        <v>26</v>
      </c>
      <c r="E15" s="62">
        <v>18</v>
      </c>
      <c r="F15" s="63">
        <v>300</v>
      </c>
      <c r="G15" s="64">
        <v>0.3</v>
      </c>
      <c r="H15" s="41">
        <f t="shared" si="0"/>
        <v>1620</v>
      </c>
      <c r="J15" s="66" t="s">
        <v>26</v>
      </c>
      <c r="K15" s="62">
        <v>12</v>
      </c>
      <c r="L15" s="63">
        <v>300</v>
      </c>
      <c r="M15" s="64">
        <v>0.3</v>
      </c>
      <c r="N15" s="65">
        <f t="shared" si="1"/>
        <v>1080</v>
      </c>
      <c r="O15" s="218">
        <v>270.52999999999997</v>
      </c>
      <c r="P15" s="218">
        <v>938.38</v>
      </c>
      <c r="Q15" s="218"/>
      <c r="R15" s="188">
        <f t="shared" si="3"/>
        <v>1208.9099999999999</v>
      </c>
      <c r="S15" s="187">
        <f t="shared" si="2"/>
        <v>411.09000000000015</v>
      </c>
      <c r="T15" s="164"/>
      <c r="U15" s="6"/>
      <c r="V15" s="6"/>
      <c r="W15" s="6"/>
    </row>
    <row r="16" spans="1:23" ht="36" x14ac:dyDescent="0.3">
      <c r="A16" s="44" t="s">
        <v>33</v>
      </c>
      <c r="B16" s="53" t="s">
        <v>34</v>
      </c>
      <c r="C16" s="61" t="s">
        <v>35</v>
      </c>
      <c r="D16" s="60" t="s">
        <v>26</v>
      </c>
      <c r="E16" s="62">
        <v>18</v>
      </c>
      <c r="F16" s="63">
        <v>900</v>
      </c>
      <c r="G16" s="64">
        <v>0.3</v>
      </c>
      <c r="H16" s="41">
        <f t="shared" si="0"/>
        <v>4860</v>
      </c>
      <c r="J16" s="67" t="s">
        <v>26</v>
      </c>
      <c r="K16" s="62">
        <v>12</v>
      </c>
      <c r="L16" s="63">
        <v>900</v>
      </c>
      <c r="M16" s="64">
        <v>0.3</v>
      </c>
      <c r="N16" s="65">
        <f>K16*L16*M16</f>
        <v>3240</v>
      </c>
      <c r="O16" s="218">
        <v>1348.11</v>
      </c>
      <c r="P16" s="218">
        <v>3204</v>
      </c>
      <c r="Q16" s="218"/>
      <c r="R16" s="188">
        <f t="shared" si="3"/>
        <v>4552.1099999999997</v>
      </c>
      <c r="S16" s="187">
        <f t="shared" si="2"/>
        <v>307.89000000000033</v>
      </c>
      <c r="T16" s="164"/>
      <c r="U16" s="6"/>
      <c r="V16" s="6"/>
      <c r="W16" s="6"/>
    </row>
    <row r="17" spans="1:23" ht="36" x14ac:dyDescent="0.3">
      <c r="A17" s="44" t="s">
        <v>36</v>
      </c>
      <c r="B17" s="216" t="s">
        <v>37</v>
      </c>
      <c r="C17" s="216" t="s">
        <v>38</v>
      </c>
      <c r="D17" s="217" t="s">
        <v>26</v>
      </c>
      <c r="E17" s="218">
        <v>18</v>
      </c>
      <c r="F17" s="219">
        <v>350</v>
      </c>
      <c r="G17" s="220">
        <v>1</v>
      </c>
      <c r="H17" s="41">
        <f t="shared" si="0"/>
        <v>6300</v>
      </c>
      <c r="I17" s="211"/>
      <c r="J17" s="222" t="s">
        <v>26</v>
      </c>
      <c r="K17" s="218">
        <v>12</v>
      </c>
      <c r="L17" s="219">
        <v>350</v>
      </c>
      <c r="M17" s="220">
        <v>1</v>
      </c>
      <c r="N17" s="221">
        <f>K17*L17*M17</f>
        <v>4200</v>
      </c>
      <c r="O17" s="218">
        <v>1337.5</v>
      </c>
      <c r="P17" s="218">
        <v>186.81</v>
      </c>
      <c r="Q17" s="218"/>
      <c r="R17" s="208">
        <f t="shared" si="3"/>
        <v>1524.31</v>
      </c>
      <c r="S17" s="187">
        <f t="shared" si="2"/>
        <v>4775.6900000000005</v>
      </c>
      <c r="T17" s="250"/>
      <c r="U17" s="6"/>
      <c r="V17" s="6"/>
      <c r="W17" s="6"/>
    </row>
    <row r="18" spans="1:23" x14ac:dyDescent="0.3">
      <c r="A18" s="68"/>
      <c r="B18" s="198" t="s">
        <v>39</v>
      </c>
      <c r="C18" s="69"/>
      <c r="D18" s="69"/>
      <c r="E18" s="70"/>
      <c r="F18" s="71"/>
      <c r="G18" s="72"/>
      <c r="H18" s="119">
        <f>SUM(H12:H17)</f>
        <v>39080</v>
      </c>
      <c r="I18" s="74"/>
      <c r="J18" s="75"/>
      <c r="K18" s="70"/>
      <c r="L18" s="71"/>
      <c r="M18" s="72"/>
      <c r="N18" s="73">
        <f t="shared" ref="N18:S18" si="4">SUM(N12:N17)</f>
        <v>32720</v>
      </c>
      <c r="O18" s="173">
        <f>SUM(O12:O17)</f>
        <v>21387.95</v>
      </c>
      <c r="P18" s="173">
        <f t="shared" si="4"/>
        <v>11210.210000000001</v>
      </c>
      <c r="Q18" s="259">
        <f t="shared" si="4"/>
        <v>927.63</v>
      </c>
      <c r="R18" s="76">
        <f t="shared" si="4"/>
        <v>33525.79</v>
      </c>
      <c r="S18" s="76">
        <f t="shared" si="4"/>
        <v>5554.2099999999991</v>
      </c>
      <c r="T18" s="164"/>
      <c r="U18" s="6"/>
      <c r="V18" s="6"/>
      <c r="W18" s="6"/>
    </row>
    <row r="19" spans="1:23" x14ac:dyDescent="0.3">
      <c r="A19" s="68"/>
      <c r="B19" s="199"/>
      <c r="C19" s="60"/>
      <c r="D19" s="60"/>
      <c r="E19" s="62"/>
      <c r="F19" s="63"/>
      <c r="G19" s="78"/>
      <c r="H19" s="41"/>
      <c r="J19" s="67"/>
      <c r="K19" s="62"/>
      <c r="L19" s="63"/>
      <c r="M19" s="78"/>
      <c r="N19" s="65"/>
      <c r="O19" s="173"/>
      <c r="P19" s="173"/>
      <c r="Q19" s="173"/>
      <c r="R19" s="173"/>
      <c r="S19" s="173"/>
      <c r="T19" s="164"/>
      <c r="U19" s="6"/>
      <c r="V19" s="6"/>
      <c r="W19" s="6"/>
    </row>
    <row r="20" spans="1:23" x14ac:dyDescent="0.3">
      <c r="A20" s="44">
        <v>1.2</v>
      </c>
      <c r="B20" s="261" t="s">
        <v>40</v>
      </c>
      <c r="C20" s="261"/>
      <c r="D20" s="261"/>
      <c r="E20" s="261"/>
      <c r="F20" s="261"/>
      <c r="G20" s="261"/>
      <c r="H20" s="262"/>
      <c r="J20" s="79"/>
      <c r="K20" s="80"/>
      <c r="L20" s="80"/>
      <c r="M20" s="80"/>
      <c r="N20" s="81"/>
      <c r="O20" s="173"/>
      <c r="P20" s="173"/>
      <c r="Q20" s="173"/>
      <c r="R20" s="175"/>
      <c r="S20" s="175"/>
      <c r="T20" s="269" t="s">
        <v>216</v>
      </c>
      <c r="U20" s="6"/>
      <c r="V20" s="6"/>
      <c r="W20" s="6"/>
    </row>
    <row r="21" spans="1:23" ht="36" x14ac:dyDescent="0.3">
      <c r="A21" s="44" t="s">
        <v>41</v>
      </c>
      <c r="B21" s="82" t="s">
        <v>42</v>
      </c>
      <c r="C21" s="82" t="s">
        <v>43</v>
      </c>
      <c r="D21" s="83" t="s">
        <v>22</v>
      </c>
      <c r="E21" s="70">
        <v>1</v>
      </c>
      <c r="F21" s="84">
        <v>2000</v>
      </c>
      <c r="G21" s="85">
        <v>1</v>
      </c>
      <c r="H21" s="41">
        <f>E21*F21*G21</f>
        <v>2000</v>
      </c>
      <c r="J21" s="87" t="s">
        <v>22</v>
      </c>
      <c r="K21" s="88">
        <v>1</v>
      </c>
      <c r="L21" s="89">
        <v>2000</v>
      </c>
      <c r="M21" s="85">
        <v>1</v>
      </c>
      <c r="N21" s="86">
        <f>K21*L21*M21</f>
        <v>2000</v>
      </c>
      <c r="O21" s="70"/>
      <c r="P21" s="70">
        <v>1999</v>
      </c>
      <c r="Q21" s="70"/>
      <c r="R21" s="208">
        <f t="shared" ref="R21:R34" si="5">O21+P21+Q21</f>
        <v>1999</v>
      </c>
      <c r="S21" s="89">
        <f t="shared" ref="S21:S35" si="6">H21-R21</f>
        <v>1</v>
      </c>
      <c r="T21" s="251"/>
      <c r="U21" s="6"/>
      <c r="W21" s="6"/>
    </row>
    <row r="22" spans="1:23" ht="48" x14ac:dyDescent="0.3">
      <c r="A22" s="44" t="s">
        <v>44</v>
      </c>
      <c r="B22" s="82" t="s">
        <v>42</v>
      </c>
      <c r="C22" s="82" t="s">
        <v>45</v>
      </c>
      <c r="D22" s="83" t="s">
        <v>22</v>
      </c>
      <c r="E22" s="70">
        <v>1</v>
      </c>
      <c r="F22" s="84">
        <v>2000</v>
      </c>
      <c r="G22" s="85">
        <v>1</v>
      </c>
      <c r="H22" s="41">
        <f t="shared" ref="H22:H34" si="7">E22*F22*G22</f>
        <v>2000</v>
      </c>
      <c r="J22" s="87" t="s">
        <v>22</v>
      </c>
      <c r="K22" s="88"/>
      <c r="L22" s="89">
        <v>2000</v>
      </c>
      <c r="M22" s="85">
        <v>1</v>
      </c>
      <c r="N22" s="86">
        <f t="shared" ref="N22:N34" si="8">K22*L22*M22</f>
        <v>0</v>
      </c>
      <c r="O22" s="70">
        <v>1000</v>
      </c>
      <c r="P22" s="70">
        <v>1124.8599999999999</v>
      </c>
      <c r="Q22" s="70"/>
      <c r="R22" s="208">
        <f t="shared" si="5"/>
        <v>2124.8599999999997</v>
      </c>
      <c r="S22" s="89">
        <f t="shared" si="6"/>
        <v>-124.85999999999967</v>
      </c>
      <c r="T22" s="268" t="s">
        <v>217</v>
      </c>
      <c r="U22" s="6"/>
      <c r="W22" s="6"/>
    </row>
    <row r="23" spans="1:23" x14ac:dyDescent="0.3">
      <c r="A23" s="44" t="s">
        <v>46</v>
      </c>
      <c r="B23" s="82" t="s">
        <v>47</v>
      </c>
      <c r="C23" s="82" t="s">
        <v>48</v>
      </c>
      <c r="D23" s="83" t="s">
        <v>22</v>
      </c>
      <c r="E23" s="70">
        <v>2</v>
      </c>
      <c r="F23" s="84">
        <v>100</v>
      </c>
      <c r="G23" s="85">
        <v>1</v>
      </c>
      <c r="H23" s="41">
        <f t="shared" si="7"/>
        <v>200</v>
      </c>
      <c r="J23" s="90" t="s">
        <v>22</v>
      </c>
      <c r="K23" s="88">
        <v>1</v>
      </c>
      <c r="L23" s="89">
        <v>100</v>
      </c>
      <c r="M23" s="85">
        <v>1</v>
      </c>
      <c r="N23" s="86">
        <f t="shared" si="8"/>
        <v>100</v>
      </c>
      <c r="O23" s="70"/>
      <c r="P23" s="70">
        <v>200</v>
      </c>
      <c r="Q23" s="70"/>
      <c r="R23" s="208">
        <f t="shared" si="5"/>
        <v>200</v>
      </c>
      <c r="S23" s="89">
        <f t="shared" si="6"/>
        <v>0</v>
      </c>
      <c r="T23" s="164"/>
      <c r="U23" s="6"/>
      <c r="V23" s="6"/>
      <c r="W23" s="6"/>
    </row>
    <row r="24" spans="1:23" x14ac:dyDescent="0.3">
      <c r="A24" s="44" t="s">
        <v>49</v>
      </c>
      <c r="B24" s="82" t="s">
        <v>50</v>
      </c>
      <c r="C24" s="82"/>
      <c r="D24" s="83" t="s">
        <v>22</v>
      </c>
      <c r="E24" s="70">
        <v>2</v>
      </c>
      <c r="F24" s="84">
        <v>300</v>
      </c>
      <c r="G24" s="85">
        <v>1</v>
      </c>
      <c r="H24" s="41">
        <f t="shared" si="7"/>
        <v>600</v>
      </c>
      <c r="J24" s="90" t="s">
        <v>22</v>
      </c>
      <c r="K24" s="88">
        <v>1</v>
      </c>
      <c r="L24" s="89">
        <v>300</v>
      </c>
      <c r="M24" s="85">
        <v>1</v>
      </c>
      <c r="N24" s="86">
        <f t="shared" si="8"/>
        <v>300</v>
      </c>
      <c r="O24" s="70"/>
      <c r="P24" s="70">
        <v>600</v>
      </c>
      <c r="Q24" s="70"/>
      <c r="R24" s="208">
        <f t="shared" si="5"/>
        <v>600</v>
      </c>
      <c r="S24" s="89">
        <f t="shared" si="6"/>
        <v>0</v>
      </c>
      <c r="T24" s="164"/>
      <c r="U24" s="6"/>
      <c r="V24" s="6"/>
      <c r="W24" s="6"/>
    </row>
    <row r="25" spans="1:23" ht="48" x14ac:dyDescent="0.3">
      <c r="A25" s="44" t="s">
        <v>51</v>
      </c>
      <c r="B25" s="82" t="s">
        <v>52</v>
      </c>
      <c r="C25" s="82" t="s">
        <v>53</v>
      </c>
      <c r="D25" s="83" t="s">
        <v>26</v>
      </c>
      <c r="E25" s="70">
        <v>24</v>
      </c>
      <c r="F25" s="84">
        <v>600</v>
      </c>
      <c r="G25" s="85">
        <v>1</v>
      </c>
      <c r="H25" s="41">
        <f t="shared" si="7"/>
        <v>14400</v>
      </c>
      <c r="J25" s="87" t="s">
        <v>26</v>
      </c>
      <c r="K25" s="88">
        <v>12</v>
      </c>
      <c r="L25" s="89">
        <v>600</v>
      </c>
      <c r="M25" s="85">
        <v>1</v>
      </c>
      <c r="N25" s="86">
        <f t="shared" si="8"/>
        <v>7200</v>
      </c>
      <c r="O25" s="70">
        <v>1100</v>
      </c>
      <c r="P25" s="70">
        <v>15500</v>
      </c>
      <c r="Q25" s="70"/>
      <c r="R25" s="208">
        <f t="shared" si="5"/>
        <v>16600</v>
      </c>
      <c r="S25" s="89">
        <f t="shared" si="6"/>
        <v>-2200</v>
      </c>
      <c r="T25" s="268" t="s">
        <v>218</v>
      </c>
      <c r="U25" s="6"/>
      <c r="W25" s="6"/>
    </row>
    <row r="26" spans="1:23" s="97" customFormat="1" ht="36" x14ac:dyDescent="0.3">
      <c r="A26" s="44" t="s">
        <v>54</v>
      </c>
      <c r="B26" s="91" t="s">
        <v>55</v>
      </c>
      <c r="C26" s="82" t="s">
        <v>56</v>
      </c>
      <c r="D26" s="92" t="s">
        <v>26</v>
      </c>
      <c r="E26" s="93">
        <v>24</v>
      </c>
      <c r="F26" s="94">
        <v>200</v>
      </c>
      <c r="G26" s="95">
        <v>1</v>
      </c>
      <c r="H26" s="232">
        <f t="shared" si="7"/>
        <v>4800</v>
      </c>
      <c r="J26" s="98" t="s">
        <v>26</v>
      </c>
      <c r="K26" s="99">
        <v>12</v>
      </c>
      <c r="L26" s="94">
        <v>200</v>
      </c>
      <c r="M26" s="95">
        <v>1</v>
      </c>
      <c r="N26" s="96">
        <f t="shared" si="8"/>
        <v>2400</v>
      </c>
      <c r="O26" s="70">
        <v>0</v>
      </c>
      <c r="P26" s="70">
        <v>2200</v>
      </c>
      <c r="Q26" s="70"/>
      <c r="R26" s="208">
        <f t="shared" si="5"/>
        <v>2200</v>
      </c>
      <c r="S26" s="89">
        <f t="shared" si="6"/>
        <v>2600</v>
      </c>
      <c r="T26" s="251"/>
      <c r="U26" s="101"/>
      <c r="V26" s="101"/>
      <c r="W26" s="101"/>
    </row>
    <row r="27" spans="1:23" x14ac:dyDescent="0.3">
      <c r="A27" s="44" t="s">
        <v>57</v>
      </c>
      <c r="B27" s="104" t="s">
        <v>58</v>
      </c>
      <c r="C27" s="82"/>
      <c r="D27" s="103" t="s">
        <v>26</v>
      </c>
      <c r="E27" s="88">
        <v>24</v>
      </c>
      <c r="F27" s="89">
        <v>50</v>
      </c>
      <c r="G27" s="85">
        <v>1</v>
      </c>
      <c r="H27" s="41">
        <f t="shared" si="7"/>
        <v>1200</v>
      </c>
      <c r="J27" s="87" t="s">
        <v>26</v>
      </c>
      <c r="K27" s="88">
        <v>12</v>
      </c>
      <c r="L27" s="89">
        <v>50</v>
      </c>
      <c r="M27" s="85">
        <v>1</v>
      </c>
      <c r="N27" s="86">
        <f t="shared" si="8"/>
        <v>600</v>
      </c>
      <c r="O27" s="70"/>
      <c r="P27" s="70">
        <v>1200</v>
      </c>
      <c r="Q27" s="70"/>
      <c r="R27" s="208">
        <f t="shared" si="5"/>
        <v>1200</v>
      </c>
      <c r="S27" s="89">
        <f t="shared" si="6"/>
        <v>0</v>
      </c>
      <c r="T27" s="251"/>
      <c r="U27" s="6"/>
      <c r="V27" s="6"/>
      <c r="W27" s="6"/>
    </row>
    <row r="28" spans="1:23" x14ac:dyDescent="0.3">
      <c r="A28" s="44" t="s">
        <v>59</v>
      </c>
      <c r="B28" s="104" t="s">
        <v>60</v>
      </c>
      <c r="C28" s="82" t="s">
        <v>61</v>
      </c>
      <c r="D28" s="103" t="s">
        <v>26</v>
      </c>
      <c r="E28" s="88">
        <v>24</v>
      </c>
      <c r="F28" s="89">
        <v>500</v>
      </c>
      <c r="G28" s="85">
        <v>1</v>
      </c>
      <c r="H28" s="41">
        <f t="shared" si="7"/>
        <v>12000</v>
      </c>
      <c r="J28" s="87" t="s">
        <v>26</v>
      </c>
      <c r="K28" s="88">
        <v>12</v>
      </c>
      <c r="L28" s="89">
        <v>500</v>
      </c>
      <c r="M28" s="85">
        <v>1</v>
      </c>
      <c r="N28" s="86">
        <f t="shared" si="8"/>
        <v>6000</v>
      </c>
      <c r="O28" s="70"/>
      <c r="P28" s="70">
        <v>5208.1200000000008</v>
      </c>
      <c r="Q28" s="70">
        <v>6474.23</v>
      </c>
      <c r="R28" s="208">
        <f t="shared" si="5"/>
        <v>11682.35</v>
      </c>
      <c r="S28" s="89">
        <f t="shared" si="6"/>
        <v>317.64999999999964</v>
      </c>
      <c r="T28" s="164"/>
      <c r="U28" s="6"/>
      <c r="V28" s="6"/>
      <c r="W28" s="6"/>
    </row>
    <row r="29" spans="1:23" x14ac:dyDescent="0.3">
      <c r="A29" s="44" t="s">
        <v>62</v>
      </c>
      <c r="B29" s="104" t="s">
        <v>63</v>
      </c>
      <c r="C29" s="102" t="s">
        <v>64</v>
      </c>
      <c r="D29" s="103" t="s">
        <v>65</v>
      </c>
      <c r="E29" s="88">
        <v>1</v>
      </c>
      <c r="F29" s="89">
        <v>2000</v>
      </c>
      <c r="G29" s="85">
        <v>1</v>
      </c>
      <c r="H29" s="41">
        <f t="shared" si="7"/>
        <v>2000</v>
      </c>
      <c r="J29" s="87" t="s">
        <v>65</v>
      </c>
      <c r="K29" s="88">
        <v>1</v>
      </c>
      <c r="L29" s="89">
        <v>2000</v>
      </c>
      <c r="M29" s="85">
        <v>1</v>
      </c>
      <c r="N29" s="86">
        <f t="shared" si="8"/>
        <v>2000</v>
      </c>
      <c r="O29" s="70"/>
      <c r="P29" s="70">
        <v>2000</v>
      </c>
      <c r="Q29" s="70"/>
      <c r="R29" s="208">
        <f t="shared" si="5"/>
        <v>2000</v>
      </c>
      <c r="S29" s="89">
        <f t="shared" si="6"/>
        <v>0</v>
      </c>
      <c r="T29" s="251"/>
      <c r="U29" s="6"/>
      <c r="V29" s="6"/>
      <c r="W29" s="6"/>
    </row>
    <row r="30" spans="1:23" ht="36" x14ac:dyDescent="0.3">
      <c r="A30" s="44" t="s">
        <v>66</v>
      </c>
      <c r="B30" s="104" t="s">
        <v>67</v>
      </c>
      <c r="C30" s="104" t="s">
        <v>68</v>
      </c>
      <c r="D30" s="103" t="s">
        <v>69</v>
      </c>
      <c r="E30" s="88">
        <v>1</v>
      </c>
      <c r="F30" s="89">
        <v>5000</v>
      </c>
      <c r="G30" s="85">
        <v>1</v>
      </c>
      <c r="H30" s="41">
        <f t="shared" si="7"/>
        <v>5000</v>
      </c>
      <c r="J30" s="87" t="s">
        <v>69</v>
      </c>
      <c r="K30" s="88">
        <v>1</v>
      </c>
      <c r="L30" s="89">
        <v>5000</v>
      </c>
      <c r="M30" s="85">
        <v>1</v>
      </c>
      <c r="N30" s="86">
        <f t="shared" si="8"/>
        <v>5000</v>
      </c>
      <c r="O30" s="70"/>
      <c r="P30" s="70"/>
      <c r="Q30" s="70"/>
      <c r="R30" s="208">
        <f>O30+P30+Q30</f>
        <v>0</v>
      </c>
      <c r="S30" s="89">
        <f t="shared" si="6"/>
        <v>5000</v>
      </c>
      <c r="T30" s="251" t="s">
        <v>219</v>
      </c>
      <c r="U30" s="6"/>
      <c r="V30" s="6"/>
      <c r="W30" s="6"/>
    </row>
    <row r="31" spans="1:23" ht="36" x14ac:dyDescent="0.3">
      <c r="A31" s="44" t="s">
        <v>70</v>
      </c>
      <c r="B31" s="91" t="s">
        <v>71</v>
      </c>
      <c r="C31" s="91" t="s">
        <v>72</v>
      </c>
      <c r="D31" s="105" t="s">
        <v>65</v>
      </c>
      <c r="E31" s="106">
        <v>1</v>
      </c>
      <c r="F31" s="107">
        <v>15000</v>
      </c>
      <c r="G31" s="85">
        <v>1</v>
      </c>
      <c r="H31" s="41">
        <f t="shared" si="7"/>
        <v>15000</v>
      </c>
      <c r="J31" s="90" t="s">
        <v>65</v>
      </c>
      <c r="K31" s="106">
        <v>1</v>
      </c>
      <c r="L31" s="107">
        <v>15000</v>
      </c>
      <c r="M31" s="85">
        <v>1</v>
      </c>
      <c r="N31" s="86">
        <f t="shared" si="8"/>
        <v>15000</v>
      </c>
      <c r="O31" s="70">
        <v>27126.78</v>
      </c>
      <c r="P31" s="70">
        <v>0</v>
      </c>
      <c r="Q31" s="70">
        <v>0</v>
      </c>
      <c r="R31" s="208">
        <f t="shared" si="5"/>
        <v>27126.78</v>
      </c>
      <c r="S31" s="89">
        <f t="shared" si="6"/>
        <v>-12126.779999999999</v>
      </c>
      <c r="T31" s="165" t="s">
        <v>225</v>
      </c>
      <c r="U31" s="6"/>
      <c r="V31" s="6"/>
      <c r="W31" s="6"/>
    </row>
    <row r="32" spans="1:23" ht="48" x14ac:dyDescent="0.3">
      <c r="A32" s="44" t="s">
        <v>73</v>
      </c>
      <c r="B32" s="82" t="s">
        <v>74</v>
      </c>
      <c r="C32" s="82" t="s">
        <v>75</v>
      </c>
      <c r="D32" s="83" t="s">
        <v>69</v>
      </c>
      <c r="E32" s="70">
        <v>1</v>
      </c>
      <c r="F32" s="84">
        <v>15000</v>
      </c>
      <c r="G32" s="85">
        <v>1</v>
      </c>
      <c r="H32" s="41">
        <f t="shared" si="7"/>
        <v>15000</v>
      </c>
      <c r="J32" s="90" t="s">
        <v>69</v>
      </c>
      <c r="K32" s="106">
        <v>1</v>
      </c>
      <c r="L32" s="107">
        <v>15000</v>
      </c>
      <c r="M32" s="85">
        <v>1</v>
      </c>
      <c r="N32" s="86">
        <f t="shared" si="8"/>
        <v>15000</v>
      </c>
      <c r="O32" s="70">
        <v>5873.36</v>
      </c>
      <c r="P32" s="70">
        <v>0</v>
      </c>
      <c r="Q32" s="70">
        <v>4608.91</v>
      </c>
      <c r="R32" s="208">
        <f t="shared" si="5"/>
        <v>10482.27</v>
      </c>
      <c r="S32" s="89">
        <f t="shared" si="6"/>
        <v>4517.7299999999996</v>
      </c>
      <c r="T32" s="165"/>
      <c r="U32" s="6"/>
      <c r="V32" s="6"/>
      <c r="W32" s="6"/>
    </row>
    <row r="33" spans="1:23" ht="24" x14ac:dyDescent="0.3">
      <c r="A33" s="44" t="s">
        <v>76</v>
      </c>
      <c r="B33" s="82" t="s">
        <v>77</v>
      </c>
      <c r="C33" s="82"/>
      <c r="D33" s="69" t="s">
        <v>26</v>
      </c>
      <c r="E33" s="70">
        <v>24</v>
      </c>
      <c r="F33" s="108">
        <v>500</v>
      </c>
      <c r="G33" s="85">
        <v>1</v>
      </c>
      <c r="H33" s="41">
        <f t="shared" si="7"/>
        <v>12000</v>
      </c>
      <c r="J33" s="75" t="s">
        <v>26</v>
      </c>
      <c r="K33" s="70">
        <v>12</v>
      </c>
      <c r="L33" s="108">
        <v>500</v>
      </c>
      <c r="M33" s="85">
        <v>1</v>
      </c>
      <c r="N33" s="86">
        <f t="shared" si="8"/>
        <v>6000</v>
      </c>
      <c r="O33" s="70">
        <v>1500</v>
      </c>
      <c r="P33" s="70">
        <v>6385</v>
      </c>
      <c r="Q33" s="70">
        <v>4410</v>
      </c>
      <c r="R33" s="208">
        <f t="shared" si="5"/>
        <v>12295</v>
      </c>
      <c r="S33" s="89">
        <f t="shared" si="6"/>
        <v>-295</v>
      </c>
      <c r="T33" s="165"/>
      <c r="U33" s="6"/>
      <c r="V33" s="6"/>
      <c r="W33" s="6"/>
    </row>
    <row r="34" spans="1:23" ht="24" x14ac:dyDescent="0.3">
      <c r="A34" s="44" t="s">
        <v>78</v>
      </c>
      <c r="B34" s="82" t="s">
        <v>79</v>
      </c>
      <c r="C34" s="82"/>
      <c r="D34" s="69" t="s">
        <v>26</v>
      </c>
      <c r="E34" s="70">
        <v>24</v>
      </c>
      <c r="F34" s="108">
        <v>700</v>
      </c>
      <c r="G34" s="85">
        <v>1</v>
      </c>
      <c r="H34" s="41">
        <f t="shared" si="7"/>
        <v>16800</v>
      </c>
      <c r="J34" s="75" t="s">
        <v>26</v>
      </c>
      <c r="K34" s="70">
        <v>12</v>
      </c>
      <c r="L34" s="108">
        <v>700</v>
      </c>
      <c r="M34" s="85">
        <v>1</v>
      </c>
      <c r="N34" s="86">
        <f t="shared" si="8"/>
        <v>8400</v>
      </c>
      <c r="O34" s="70">
        <v>0</v>
      </c>
      <c r="P34" s="70">
        <v>16885</v>
      </c>
      <c r="Q34" s="70">
        <v>2200</v>
      </c>
      <c r="R34" s="208">
        <f t="shared" si="5"/>
        <v>19085</v>
      </c>
      <c r="S34" s="89">
        <f t="shared" si="6"/>
        <v>-2285</v>
      </c>
      <c r="T34" s="164"/>
      <c r="U34" s="6"/>
      <c r="V34" s="6"/>
      <c r="W34" s="6"/>
    </row>
    <row r="35" spans="1:23" x14ac:dyDescent="0.3">
      <c r="A35" s="44"/>
      <c r="B35" s="198" t="s">
        <v>39</v>
      </c>
      <c r="C35" s="69"/>
      <c r="D35" s="69"/>
      <c r="E35" s="69"/>
      <c r="F35" s="84"/>
      <c r="G35" s="69"/>
      <c r="H35" s="119">
        <f>SUM(H21:H34)</f>
        <v>103000</v>
      </c>
      <c r="J35" s="75"/>
      <c r="K35" s="69"/>
      <c r="L35" s="69"/>
      <c r="M35" s="69"/>
      <c r="N35" s="73">
        <f t="shared" ref="N35:Q35" si="9">SUM(N21:N34)</f>
        <v>70000</v>
      </c>
      <c r="O35" s="70">
        <f>SUM(O21:O34)</f>
        <v>36600.14</v>
      </c>
      <c r="P35" s="70">
        <f t="shared" si="9"/>
        <v>53301.98</v>
      </c>
      <c r="Q35" s="70">
        <f t="shared" si="9"/>
        <v>17693.14</v>
      </c>
      <c r="R35" s="205">
        <f>SUM(R21:R34)</f>
        <v>107595.26</v>
      </c>
      <c r="S35" s="89">
        <f t="shared" si="6"/>
        <v>-4595.2599999999948</v>
      </c>
      <c r="T35" s="164"/>
      <c r="U35" s="6"/>
      <c r="V35" s="6"/>
      <c r="W35" s="6"/>
    </row>
    <row r="36" spans="1:23" x14ac:dyDescent="0.3">
      <c r="A36" s="44"/>
      <c r="B36" s="61"/>
      <c r="C36" s="60"/>
      <c r="D36" s="60"/>
      <c r="E36" s="60"/>
      <c r="F36" s="60"/>
      <c r="G36" s="60"/>
      <c r="H36" s="151"/>
      <c r="J36" s="67"/>
      <c r="K36" s="60"/>
      <c r="L36" s="60"/>
      <c r="M36" s="60"/>
      <c r="N36" s="109"/>
      <c r="O36" s="176"/>
      <c r="P36" s="176"/>
      <c r="Q36" s="176"/>
      <c r="R36" s="189"/>
      <c r="S36" s="176"/>
      <c r="T36" s="164"/>
      <c r="U36" s="6"/>
      <c r="V36" s="6"/>
      <c r="W36" s="6"/>
    </row>
    <row r="37" spans="1:23" x14ac:dyDescent="0.3">
      <c r="A37" s="44">
        <v>1.3</v>
      </c>
      <c r="B37" s="228" t="s">
        <v>80</v>
      </c>
      <c r="C37" s="45"/>
      <c r="D37" s="45"/>
      <c r="E37" s="45"/>
      <c r="F37" s="45"/>
      <c r="G37" s="45"/>
      <c r="H37" s="110"/>
      <c r="J37" s="50"/>
      <c r="K37" s="45"/>
      <c r="L37" s="45"/>
      <c r="M37" s="45"/>
      <c r="N37" s="110"/>
      <c r="O37" s="177"/>
      <c r="P37" s="177"/>
      <c r="Q37" s="177"/>
      <c r="R37" s="177"/>
      <c r="S37" s="177"/>
      <c r="T37" s="164"/>
      <c r="U37" s="6"/>
      <c r="V37" s="6"/>
      <c r="W37" s="6"/>
    </row>
    <row r="38" spans="1:23" x14ac:dyDescent="0.3">
      <c r="A38" s="111" t="s">
        <v>81</v>
      </c>
      <c r="B38" s="53" t="s">
        <v>82</v>
      </c>
      <c r="C38" s="52" t="s">
        <v>83</v>
      </c>
      <c r="D38" s="52" t="s">
        <v>26</v>
      </c>
      <c r="E38" s="54">
        <v>24</v>
      </c>
      <c r="F38" s="55">
        <v>450</v>
      </c>
      <c r="G38" s="56">
        <v>1</v>
      </c>
      <c r="H38" s="41">
        <f t="shared" ref="H38:H45" si="10">E38*F38*G38</f>
        <v>10800</v>
      </c>
      <c r="J38" s="58" t="s">
        <v>26</v>
      </c>
      <c r="K38" s="54">
        <v>12</v>
      </c>
      <c r="L38" s="55">
        <v>450</v>
      </c>
      <c r="M38" s="56">
        <v>1</v>
      </c>
      <c r="N38" s="57">
        <f t="shared" ref="N38:N45" si="11">K38*L38*M38</f>
        <v>5400</v>
      </c>
      <c r="O38" s="173"/>
      <c r="P38" s="173">
        <v>10803.26</v>
      </c>
      <c r="Q38" s="173">
        <v>2700</v>
      </c>
      <c r="R38" s="208">
        <f t="shared" ref="R38:R47" si="12">O38+P38+Q38</f>
        <v>13503.26</v>
      </c>
      <c r="S38" s="173">
        <f>H38-R38</f>
        <v>-2703.26</v>
      </c>
      <c r="T38" s="164"/>
      <c r="U38" s="6"/>
      <c r="V38" s="6"/>
      <c r="W38" s="6"/>
    </row>
    <row r="39" spans="1:23" ht="48" x14ac:dyDescent="0.3">
      <c r="A39" s="111" t="s">
        <v>84</v>
      </c>
      <c r="B39" s="53" t="s">
        <v>85</v>
      </c>
      <c r="C39" s="52" t="s">
        <v>86</v>
      </c>
      <c r="D39" s="52" t="s">
        <v>26</v>
      </c>
      <c r="E39" s="54">
        <v>12</v>
      </c>
      <c r="F39" s="55">
        <v>350</v>
      </c>
      <c r="G39" s="56">
        <v>1</v>
      </c>
      <c r="H39" s="41">
        <f t="shared" si="10"/>
        <v>4200</v>
      </c>
      <c r="J39" s="58" t="s">
        <v>26</v>
      </c>
      <c r="K39" s="54">
        <v>6</v>
      </c>
      <c r="L39" s="55">
        <v>350</v>
      </c>
      <c r="M39" s="56">
        <v>1</v>
      </c>
      <c r="N39" s="57">
        <f t="shared" si="11"/>
        <v>2100</v>
      </c>
      <c r="O39" s="173"/>
      <c r="P39" s="173"/>
      <c r="Q39" s="173">
        <v>6000</v>
      </c>
      <c r="R39" s="208">
        <f t="shared" si="12"/>
        <v>6000</v>
      </c>
      <c r="S39" s="173">
        <f t="shared" ref="S39:S47" si="13">H39-R39</f>
        <v>-1800</v>
      </c>
      <c r="T39" s="251" t="s">
        <v>226</v>
      </c>
      <c r="U39" s="6"/>
      <c r="V39" s="6"/>
      <c r="W39" s="6"/>
    </row>
    <row r="40" spans="1:23" ht="24" x14ac:dyDescent="0.3">
      <c r="A40" s="111" t="s">
        <v>87</v>
      </c>
      <c r="B40" s="53" t="s">
        <v>88</v>
      </c>
      <c r="C40" s="53" t="s">
        <v>89</v>
      </c>
      <c r="D40" s="52" t="s">
        <v>26</v>
      </c>
      <c r="E40" s="54">
        <v>24</v>
      </c>
      <c r="F40" s="55">
        <v>600</v>
      </c>
      <c r="G40" s="56">
        <v>1</v>
      </c>
      <c r="H40" s="41">
        <f t="shared" si="10"/>
        <v>14400</v>
      </c>
      <c r="J40" s="58" t="s">
        <v>26</v>
      </c>
      <c r="K40" s="54">
        <v>12</v>
      </c>
      <c r="L40" s="55">
        <v>600</v>
      </c>
      <c r="M40" s="56">
        <v>1</v>
      </c>
      <c r="N40" s="57">
        <f t="shared" si="11"/>
        <v>7200</v>
      </c>
      <c r="O40" s="173"/>
      <c r="P40" s="173">
        <v>14400</v>
      </c>
      <c r="Q40" s="173">
        <v>3600</v>
      </c>
      <c r="R40" s="208">
        <f t="shared" si="12"/>
        <v>18000</v>
      </c>
      <c r="S40" s="173">
        <f t="shared" si="13"/>
        <v>-3600</v>
      </c>
      <c r="T40" s="164"/>
      <c r="U40" s="6"/>
      <c r="V40" s="6"/>
      <c r="W40" s="6"/>
    </row>
    <row r="41" spans="1:23" ht="24" x14ac:dyDescent="0.3">
      <c r="A41" s="111" t="s">
        <v>90</v>
      </c>
      <c r="B41" s="53" t="s">
        <v>91</v>
      </c>
      <c r="C41" s="52"/>
      <c r="D41" s="52" t="s">
        <v>22</v>
      </c>
      <c r="E41" s="54">
        <v>2</v>
      </c>
      <c r="F41" s="55">
        <v>1000</v>
      </c>
      <c r="G41" s="56">
        <v>1</v>
      </c>
      <c r="H41" s="41">
        <f t="shared" si="10"/>
        <v>2000</v>
      </c>
      <c r="J41" s="58" t="s">
        <v>22</v>
      </c>
      <c r="K41" s="54">
        <v>1</v>
      </c>
      <c r="L41" s="55">
        <v>1000</v>
      </c>
      <c r="M41" s="56">
        <v>1</v>
      </c>
      <c r="N41" s="57">
        <f t="shared" si="11"/>
        <v>1000</v>
      </c>
      <c r="O41" s="173"/>
      <c r="P41" s="173">
        <v>2000</v>
      </c>
      <c r="Q41" s="173">
        <v>1000</v>
      </c>
      <c r="R41" s="208">
        <f t="shared" si="12"/>
        <v>3000</v>
      </c>
      <c r="S41" s="173">
        <f t="shared" si="13"/>
        <v>-1000</v>
      </c>
      <c r="T41" s="165" t="s">
        <v>227</v>
      </c>
      <c r="U41" s="6"/>
      <c r="V41" s="6"/>
      <c r="W41" s="6"/>
    </row>
    <row r="42" spans="1:23" ht="24" x14ac:dyDescent="0.3">
      <c r="A42" s="111" t="s">
        <v>92</v>
      </c>
      <c r="B42" s="53" t="s">
        <v>93</v>
      </c>
      <c r="C42" s="52" t="s">
        <v>94</v>
      </c>
      <c r="D42" s="52" t="s">
        <v>26</v>
      </c>
      <c r="E42" s="54">
        <v>24</v>
      </c>
      <c r="F42" s="55">
        <v>600</v>
      </c>
      <c r="G42" s="56">
        <v>1</v>
      </c>
      <c r="H42" s="41">
        <f t="shared" si="10"/>
        <v>14400</v>
      </c>
      <c r="J42" s="58" t="s">
        <v>22</v>
      </c>
      <c r="K42" s="54">
        <v>1</v>
      </c>
      <c r="L42" s="55">
        <v>600</v>
      </c>
      <c r="M42" s="56">
        <v>1</v>
      </c>
      <c r="N42" s="57">
        <f t="shared" si="11"/>
        <v>600</v>
      </c>
      <c r="O42" s="173"/>
      <c r="P42" s="173">
        <v>14400</v>
      </c>
      <c r="Q42" s="173">
        <v>3600</v>
      </c>
      <c r="R42" s="208">
        <f t="shared" si="12"/>
        <v>18000</v>
      </c>
      <c r="S42" s="173">
        <f t="shared" si="13"/>
        <v>-3600</v>
      </c>
      <c r="T42" s="251" t="s">
        <v>213</v>
      </c>
      <c r="U42" s="6"/>
      <c r="V42" s="6"/>
      <c r="W42" s="6"/>
    </row>
    <row r="43" spans="1:23" x14ac:dyDescent="0.3">
      <c r="A43" s="111" t="s">
        <v>95</v>
      </c>
      <c r="B43" s="216" t="s">
        <v>96</v>
      </c>
      <c r="C43" s="52" t="s">
        <v>97</v>
      </c>
      <c r="D43" s="52" t="s">
        <v>26</v>
      </c>
      <c r="E43" s="54">
        <v>24</v>
      </c>
      <c r="F43" s="55">
        <v>500</v>
      </c>
      <c r="G43" s="56">
        <v>0.3</v>
      </c>
      <c r="H43" s="41">
        <f>E43*F43*G43</f>
        <v>3600</v>
      </c>
      <c r="J43" s="58" t="s">
        <v>26</v>
      </c>
      <c r="K43" s="54">
        <v>12</v>
      </c>
      <c r="L43" s="55">
        <v>500</v>
      </c>
      <c r="M43" s="56">
        <v>0.3</v>
      </c>
      <c r="N43" s="57">
        <f>K43*L43*M43</f>
        <v>1800</v>
      </c>
      <c r="O43" s="173">
        <v>245.24</v>
      </c>
      <c r="P43" s="173">
        <v>1761.28</v>
      </c>
      <c r="Q43" s="173">
        <v>1344.34</v>
      </c>
      <c r="R43" s="208">
        <f t="shared" si="12"/>
        <v>3350.8599999999997</v>
      </c>
      <c r="S43" s="173">
        <f t="shared" si="13"/>
        <v>249.14000000000033</v>
      </c>
      <c r="T43" s="164"/>
      <c r="U43" s="6"/>
      <c r="V43" s="6"/>
      <c r="W43" s="6"/>
    </row>
    <row r="44" spans="1:23" x14ac:dyDescent="0.3">
      <c r="A44" s="111" t="s">
        <v>98</v>
      </c>
      <c r="B44" s="53" t="s">
        <v>28</v>
      </c>
      <c r="C44" s="52" t="s">
        <v>99</v>
      </c>
      <c r="D44" s="52" t="s">
        <v>26</v>
      </c>
      <c r="E44" s="54">
        <v>24</v>
      </c>
      <c r="F44" s="55">
        <v>100</v>
      </c>
      <c r="G44" s="56">
        <v>1</v>
      </c>
      <c r="H44" s="41">
        <f t="shared" si="10"/>
        <v>2400</v>
      </c>
      <c r="J44" s="58" t="s">
        <v>26</v>
      </c>
      <c r="K44" s="54">
        <v>12</v>
      </c>
      <c r="L44" s="55">
        <v>100</v>
      </c>
      <c r="M44" s="56">
        <v>1</v>
      </c>
      <c r="N44" s="57">
        <f t="shared" si="11"/>
        <v>1200</v>
      </c>
      <c r="O44" s="173">
        <v>830.24</v>
      </c>
      <c r="P44" s="204">
        <v>877.78</v>
      </c>
      <c r="Q44" s="173">
        <v>454.55</v>
      </c>
      <c r="R44" s="208">
        <f t="shared" si="12"/>
        <v>2162.5700000000002</v>
      </c>
      <c r="S44" s="173">
        <f t="shared" si="13"/>
        <v>237.42999999999984</v>
      </c>
      <c r="T44" s="164"/>
      <c r="U44" s="6"/>
      <c r="V44" s="6"/>
      <c r="W44" s="6"/>
    </row>
    <row r="45" spans="1:23" x14ac:dyDescent="0.3">
      <c r="A45" s="111" t="s">
        <v>100</v>
      </c>
      <c r="B45" s="53" t="s">
        <v>31</v>
      </c>
      <c r="C45" s="52" t="s">
        <v>101</v>
      </c>
      <c r="D45" s="52" t="s">
        <v>26</v>
      </c>
      <c r="E45" s="54">
        <v>24</v>
      </c>
      <c r="F45" s="55">
        <v>300</v>
      </c>
      <c r="G45" s="56">
        <v>0.35</v>
      </c>
      <c r="H45" s="41">
        <f t="shared" si="10"/>
        <v>2520</v>
      </c>
      <c r="J45" s="58" t="s">
        <v>26</v>
      </c>
      <c r="K45" s="54">
        <v>12</v>
      </c>
      <c r="L45" s="55">
        <v>300</v>
      </c>
      <c r="M45" s="56">
        <v>0.35</v>
      </c>
      <c r="N45" s="57">
        <f t="shared" si="11"/>
        <v>1260</v>
      </c>
      <c r="O45" s="173">
        <v>750.55</v>
      </c>
      <c r="P45" s="173">
        <v>1406.54</v>
      </c>
      <c r="Q45" s="173">
        <v>337.32</v>
      </c>
      <c r="R45" s="208">
        <f t="shared" si="12"/>
        <v>2494.4100000000003</v>
      </c>
      <c r="S45" s="173">
        <f t="shared" si="13"/>
        <v>25.589999999999691</v>
      </c>
      <c r="T45" s="164"/>
      <c r="U45" s="6"/>
      <c r="V45" s="6"/>
      <c r="W45" s="6"/>
    </row>
    <row r="46" spans="1:23" ht="36" x14ac:dyDescent="0.3">
      <c r="A46" s="111" t="s">
        <v>102</v>
      </c>
      <c r="B46" s="53" t="s">
        <v>103</v>
      </c>
      <c r="C46" s="53" t="s">
        <v>35</v>
      </c>
      <c r="D46" s="52" t="s">
        <v>26</v>
      </c>
      <c r="E46" s="54">
        <v>24</v>
      </c>
      <c r="F46" s="55">
        <v>900</v>
      </c>
      <c r="G46" s="56">
        <v>0.35</v>
      </c>
      <c r="H46" s="41">
        <f>E46*F46*G46</f>
        <v>7559.9999999999991</v>
      </c>
      <c r="J46" s="58" t="s">
        <v>26</v>
      </c>
      <c r="K46" s="54">
        <v>12</v>
      </c>
      <c r="L46" s="55">
        <v>900</v>
      </c>
      <c r="M46" s="56">
        <v>0.35</v>
      </c>
      <c r="N46" s="57">
        <f>K46*L46*M46</f>
        <v>3779.9999999999995</v>
      </c>
      <c r="O46" s="173">
        <v>1798.47</v>
      </c>
      <c r="P46" s="173">
        <v>3197.15</v>
      </c>
      <c r="Q46" s="173">
        <v>2339.37</v>
      </c>
      <c r="R46" s="208">
        <f t="shared" si="12"/>
        <v>7334.99</v>
      </c>
      <c r="S46" s="173">
        <f t="shared" si="13"/>
        <v>225.00999999999931</v>
      </c>
      <c r="T46" s="251"/>
      <c r="U46" s="6"/>
      <c r="V46" s="6"/>
      <c r="W46" s="6"/>
    </row>
    <row r="47" spans="1:23" ht="48" x14ac:dyDescent="0.3">
      <c r="A47" s="111" t="s">
        <v>104</v>
      </c>
      <c r="B47" s="53" t="s">
        <v>37</v>
      </c>
      <c r="C47" s="53" t="s">
        <v>105</v>
      </c>
      <c r="D47" s="52" t="s">
        <v>26</v>
      </c>
      <c r="E47" s="54">
        <v>24</v>
      </c>
      <c r="F47" s="55">
        <v>350</v>
      </c>
      <c r="G47" s="56">
        <v>1</v>
      </c>
      <c r="H47" s="41">
        <f>E47*F47*G47</f>
        <v>8400</v>
      </c>
      <c r="J47" s="58" t="s">
        <v>26</v>
      </c>
      <c r="K47" s="54">
        <v>12</v>
      </c>
      <c r="L47" s="55">
        <v>350</v>
      </c>
      <c r="M47" s="56">
        <v>1</v>
      </c>
      <c r="N47" s="57">
        <f>K47*L47*M47</f>
        <v>4200</v>
      </c>
      <c r="O47" s="173"/>
      <c r="P47" s="173"/>
      <c r="Q47" s="173"/>
      <c r="R47" s="208">
        <f t="shared" si="12"/>
        <v>0</v>
      </c>
      <c r="S47" s="173">
        <f t="shared" si="13"/>
        <v>8400</v>
      </c>
      <c r="T47" s="251" t="s">
        <v>183</v>
      </c>
      <c r="U47" s="6"/>
      <c r="V47" s="6"/>
      <c r="W47" s="6"/>
    </row>
    <row r="48" spans="1:23" x14ac:dyDescent="0.3">
      <c r="A48" s="111"/>
      <c r="B48" s="198" t="s">
        <v>39</v>
      </c>
      <c r="C48" s="69"/>
      <c r="D48" s="69"/>
      <c r="E48" s="70"/>
      <c r="F48" s="71"/>
      <c r="G48" s="72"/>
      <c r="H48" s="119">
        <f>SUM(H38:H47)</f>
        <v>70280</v>
      </c>
      <c r="I48" s="74"/>
      <c r="J48" s="75"/>
      <c r="K48" s="70"/>
      <c r="L48" s="71"/>
      <c r="M48" s="72"/>
      <c r="N48" s="73">
        <f>SUM(N38:N47)</f>
        <v>28540</v>
      </c>
      <c r="O48" s="260">
        <f t="shared" ref="O48:S48" si="14">SUM(O38:O47)</f>
        <v>3624.5</v>
      </c>
      <c r="P48" s="260">
        <f t="shared" si="14"/>
        <v>48846.01</v>
      </c>
      <c r="Q48" s="260">
        <f t="shared" si="14"/>
        <v>21375.579999999998</v>
      </c>
      <c r="R48" s="260">
        <f t="shared" si="14"/>
        <v>73846.090000000011</v>
      </c>
      <c r="S48" s="260">
        <f t="shared" si="14"/>
        <v>-3566.09</v>
      </c>
      <c r="T48" s="164"/>
      <c r="U48" s="6"/>
      <c r="V48" s="6"/>
      <c r="W48" s="6"/>
    </row>
    <row r="49" spans="1:23" x14ac:dyDescent="0.3">
      <c r="A49" s="111"/>
      <c r="B49" s="53"/>
      <c r="C49" s="52"/>
      <c r="D49" s="52"/>
      <c r="E49" s="54"/>
      <c r="F49" s="55"/>
      <c r="G49" s="55"/>
      <c r="H49" s="41"/>
      <c r="J49" s="58"/>
      <c r="K49" s="54"/>
      <c r="L49" s="55"/>
      <c r="M49" s="55"/>
      <c r="N49" s="57"/>
      <c r="O49" s="172"/>
      <c r="P49" s="172"/>
      <c r="Q49" s="172"/>
      <c r="R49" s="191"/>
      <c r="S49" s="172"/>
      <c r="T49" s="164"/>
      <c r="U49" s="6"/>
      <c r="V49" s="6"/>
      <c r="W49" s="6"/>
    </row>
    <row r="50" spans="1:23" x14ac:dyDescent="0.3">
      <c r="A50" s="44">
        <v>1.4</v>
      </c>
      <c r="B50" s="261" t="s">
        <v>106</v>
      </c>
      <c r="C50" s="261"/>
      <c r="D50" s="261"/>
      <c r="E50" s="261"/>
      <c r="F50" s="261"/>
      <c r="G50" s="261"/>
      <c r="H50" s="262"/>
      <c r="J50" s="112"/>
      <c r="K50" s="113"/>
      <c r="L50" s="113"/>
      <c r="M50" s="113"/>
      <c r="N50" s="114"/>
      <c r="O50" s="178"/>
      <c r="P50" s="178"/>
      <c r="Q50" s="178"/>
      <c r="R50" s="192"/>
      <c r="S50" s="178">
        <v>0</v>
      </c>
      <c r="T50" s="164"/>
      <c r="U50" s="6"/>
      <c r="V50" s="6"/>
      <c r="W50" s="6"/>
    </row>
    <row r="51" spans="1:23" ht="48" x14ac:dyDescent="0.3">
      <c r="A51" s="68" t="s">
        <v>107</v>
      </c>
      <c r="B51" s="53" t="s">
        <v>108</v>
      </c>
      <c r="C51" s="53" t="s">
        <v>109</v>
      </c>
      <c r="D51" s="52" t="s">
        <v>26</v>
      </c>
      <c r="E51" s="54">
        <v>24</v>
      </c>
      <c r="F51" s="55">
        <f>1435*4</f>
        <v>5740</v>
      </c>
      <c r="G51" s="56">
        <v>1</v>
      </c>
      <c r="H51" s="41">
        <f t="shared" ref="H51:H54" si="15">E51*F51*G51</f>
        <v>137760</v>
      </c>
      <c r="J51" s="58" t="s">
        <v>26</v>
      </c>
      <c r="K51" s="54">
        <v>12</v>
      </c>
      <c r="L51" s="55">
        <f>1435*4</f>
        <v>5740</v>
      </c>
      <c r="M51" s="56">
        <v>1</v>
      </c>
      <c r="N51" s="57">
        <f t="shared" ref="N51:N54" si="16">K51*L51*M51</f>
        <v>68880</v>
      </c>
      <c r="O51" s="173"/>
      <c r="P51" s="173">
        <v>137736.12</v>
      </c>
      <c r="Q51" s="173">
        <v>34434.03</v>
      </c>
      <c r="R51" s="190">
        <f t="shared" ref="R51" si="17">O51+P51+Q51</f>
        <v>172170.15</v>
      </c>
      <c r="S51" s="173">
        <f t="shared" ref="S51" si="18">H51-R51</f>
        <v>-34410.149999999994</v>
      </c>
      <c r="T51" s="251" t="s">
        <v>223</v>
      </c>
      <c r="U51" s="6"/>
      <c r="V51" s="6"/>
      <c r="W51" s="6"/>
    </row>
    <row r="52" spans="1:23" ht="24" x14ac:dyDescent="0.3">
      <c r="A52" s="68" t="s">
        <v>110</v>
      </c>
      <c r="B52" s="53" t="s">
        <v>28</v>
      </c>
      <c r="C52" s="52" t="s">
        <v>99</v>
      </c>
      <c r="D52" s="52" t="s">
        <v>26</v>
      </c>
      <c r="E52" s="54">
        <v>24</v>
      </c>
      <c r="F52" s="55">
        <v>100</v>
      </c>
      <c r="G52" s="56">
        <v>1</v>
      </c>
      <c r="H52" s="41">
        <f t="shared" si="15"/>
        <v>2400</v>
      </c>
      <c r="J52" s="58" t="s">
        <v>26</v>
      </c>
      <c r="K52" s="54">
        <v>12</v>
      </c>
      <c r="L52" s="55">
        <v>100</v>
      </c>
      <c r="M52" s="56">
        <v>1</v>
      </c>
      <c r="N52" s="57">
        <f t="shared" si="16"/>
        <v>1200</v>
      </c>
      <c r="O52" s="173">
        <v>502.85</v>
      </c>
      <c r="P52" s="204">
        <f>1759.66</f>
        <v>1759.66</v>
      </c>
      <c r="Q52" s="173">
        <v>437.9</v>
      </c>
      <c r="R52" s="190">
        <f t="shared" ref="R52:R56" si="19">O52+P52+Q52</f>
        <v>2700.4100000000003</v>
      </c>
      <c r="S52" s="173">
        <f t="shared" ref="S52:S57" si="20">H52-R52</f>
        <v>-300.41000000000031</v>
      </c>
      <c r="T52" s="165" t="s">
        <v>224</v>
      </c>
      <c r="U52" s="6"/>
      <c r="V52" s="6"/>
      <c r="W52" s="6"/>
    </row>
    <row r="53" spans="1:23" x14ac:dyDescent="0.3">
      <c r="A53" s="68" t="s">
        <v>111</v>
      </c>
      <c r="B53" s="61" t="s">
        <v>31</v>
      </c>
      <c r="C53" s="60" t="s">
        <v>112</v>
      </c>
      <c r="D53" s="60" t="s">
        <v>26</v>
      </c>
      <c r="E53" s="62">
        <v>24</v>
      </c>
      <c r="F53" s="63">
        <v>300</v>
      </c>
      <c r="G53" s="64">
        <v>0.35</v>
      </c>
      <c r="H53" s="41">
        <f t="shared" si="15"/>
        <v>2520</v>
      </c>
      <c r="J53" s="67" t="s">
        <v>26</v>
      </c>
      <c r="K53" s="62">
        <v>12</v>
      </c>
      <c r="L53" s="63">
        <v>300</v>
      </c>
      <c r="M53" s="64">
        <v>0.35</v>
      </c>
      <c r="N53" s="65">
        <f t="shared" si="16"/>
        <v>1260</v>
      </c>
      <c r="O53" s="173">
        <v>432.41</v>
      </c>
      <c r="P53" s="173">
        <v>1426.33</v>
      </c>
      <c r="Q53" s="173">
        <v>304.60000000000002</v>
      </c>
      <c r="R53" s="190">
        <f t="shared" si="19"/>
        <v>2163.34</v>
      </c>
      <c r="S53" s="173">
        <f t="shared" si="20"/>
        <v>356.65999999999985</v>
      </c>
      <c r="T53" s="164"/>
      <c r="U53" s="6"/>
      <c r="V53" s="6"/>
      <c r="W53" s="6"/>
    </row>
    <row r="54" spans="1:23" ht="48" x14ac:dyDescent="0.3">
      <c r="A54" s="68" t="s">
        <v>113</v>
      </c>
      <c r="B54" s="216" t="s">
        <v>114</v>
      </c>
      <c r="C54" s="61" t="s">
        <v>115</v>
      </c>
      <c r="D54" s="60" t="s">
        <v>26</v>
      </c>
      <c r="E54" s="62">
        <v>24</v>
      </c>
      <c r="F54" s="63">
        <v>6250</v>
      </c>
      <c r="G54" s="64">
        <v>1</v>
      </c>
      <c r="H54" s="41">
        <f t="shared" si="15"/>
        <v>150000</v>
      </c>
      <c r="J54" s="67" t="s">
        <v>26</v>
      </c>
      <c r="K54" s="62">
        <v>12</v>
      </c>
      <c r="L54" s="63">
        <v>6250</v>
      </c>
      <c r="M54" s="64">
        <v>1</v>
      </c>
      <c r="N54" s="65">
        <f t="shared" si="16"/>
        <v>75000</v>
      </c>
      <c r="O54" s="204">
        <v>74641.759999999995</v>
      </c>
      <c r="P54" s="204">
        <v>44304.800000000003</v>
      </c>
      <c r="Q54" s="204">
        <v>15207.72</v>
      </c>
      <c r="R54" s="190">
        <f t="shared" si="19"/>
        <v>134154.28</v>
      </c>
      <c r="S54" s="173">
        <f t="shared" si="20"/>
        <v>15845.720000000001</v>
      </c>
      <c r="T54" s="251"/>
      <c r="U54" s="6"/>
      <c r="V54" s="6"/>
      <c r="W54" s="6"/>
    </row>
    <row r="55" spans="1:23" ht="36" x14ac:dyDescent="0.3">
      <c r="A55" s="68" t="s">
        <v>116</v>
      </c>
      <c r="B55" s="61" t="s">
        <v>34</v>
      </c>
      <c r="C55" s="61" t="s">
        <v>35</v>
      </c>
      <c r="D55" s="60" t="s">
        <v>26</v>
      </c>
      <c r="E55" s="62">
        <v>24</v>
      </c>
      <c r="F55" s="63">
        <v>900</v>
      </c>
      <c r="G55" s="64">
        <v>0.35</v>
      </c>
      <c r="H55" s="41">
        <f>E55*F55*G55</f>
        <v>7559.9999999999991</v>
      </c>
      <c r="J55" s="67" t="s">
        <v>26</v>
      </c>
      <c r="K55" s="62">
        <v>12</v>
      </c>
      <c r="L55" s="63">
        <v>900</v>
      </c>
      <c r="M55" s="64">
        <v>0.35</v>
      </c>
      <c r="N55" s="65">
        <f>K55*L55*M55</f>
        <v>3779.9999999999995</v>
      </c>
      <c r="O55" s="173"/>
      <c r="P55" s="173">
        <v>4383.74</v>
      </c>
      <c r="Q55" s="173"/>
      <c r="R55" s="190">
        <f t="shared" si="19"/>
        <v>4383.74</v>
      </c>
      <c r="S55" s="173">
        <f t="shared" si="20"/>
        <v>3176.2599999999993</v>
      </c>
      <c r="T55" s="164"/>
      <c r="U55" s="6"/>
      <c r="V55" s="6"/>
      <c r="W55" s="6"/>
    </row>
    <row r="56" spans="1:23" ht="48" x14ac:dyDescent="0.3">
      <c r="A56" s="68" t="s">
        <v>117</v>
      </c>
      <c r="B56" s="61" t="s">
        <v>37</v>
      </c>
      <c r="C56" s="61" t="s">
        <v>105</v>
      </c>
      <c r="D56" s="60" t="s">
        <v>26</v>
      </c>
      <c r="E56" s="62">
        <v>24</v>
      </c>
      <c r="F56" s="63">
        <v>350</v>
      </c>
      <c r="G56" s="64">
        <v>1</v>
      </c>
      <c r="H56" s="41">
        <f>E56*F56*G56</f>
        <v>8400</v>
      </c>
      <c r="J56" s="67" t="s">
        <v>26</v>
      </c>
      <c r="K56" s="62">
        <v>12</v>
      </c>
      <c r="L56" s="63">
        <v>350</v>
      </c>
      <c r="M56" s="64">
        <v>1</v>
      </c>
      <c r="N56" s="65">
        <f>K56*L56*M56</f>
        <v>4200</v>
      </c>
      <c r="O56" s="204">
        <f>1368.5</f>
        <v>1368.5</v>
      </c>
      <c r="P56" s="173"/>
      <c r="Q56" s="173"/>
      <c r="R56" s="190">
        <f t="shared" si="19"/>
        <v>1368.5</v>
      </c>
      <c r="S56" s="173">
        <f t="shared" si="20"/>
        <v>7031.5</v>
      </c>
      <c r="T56" s="165" t="s">
        <v>222</v>
      </c>
      <c r="U56" s="6"/>
      <c r="V56" s="6"/>
      <c r="W56" s="6"/>
    </row>
    <row r="57" spans="1:23" x14ac:dyDescent="0.3">
      <c r="A57" s="111"/>
      <c r="B57" s="198" t="s">
        <v>39</v>
      </c>
      <c r="C57" s="69"/>
      <c r="D57" s="69"/>
      <c r="E57" s="70"/>
      <c r="F57" s="71"/>
      <c r="G57" s="71"/>
      <c r="H57" s="119">
        <f>SUM(H51:H56)</f>
        <v>308640</v>
      </c>
      <c r="I57" s="115"/>
      <c r="J57" s="75"/>
      <c r="K57" s="70"/>
      <c r="L57" s="71"/>
      <c r="M57" s="71"/>
      <c r="N57" s="73">
        <f t="shared" ref="N57:R57" si="21">SUM(N51:N56)</f>
        <v>154320</v>
      </c>
      <c r="O57" s="260">
        <f t="shared" si="21"/>
        <v>76945.51999999999</v>
      </c>
      <c r="P57" s="260">
        <f t="shared" si="21"/>
        <v>189610.64999999997</v>
      </c>
      <c r="Q57" s="260">
        <f t="shared" si="21"/>
        <v>50384.25</v>
      </c>
      <c r="R57" s="260">
        <f t="shared" si="21"/>
        <v>316940.42</v>
      </c>
      <c r="S57" s="260">
        <f t="shared" si="20"/>
        <v>-8300.4199999999837</v>
      </c>
      <c r="T57" s="164"/>
      <c r="U57" s="6"/>
      <c r="V57" s="6"/>
      <c r="W57" s="6"/>
    </row>
    <row r="58" spans="1:23" x14ac:dyDescent="0.3">
      <c r="A58" s="111"/>
      <c r="B58" s="199"/>
      <c r="C58" s="60"/>
      <c r="D58" s="60"/>
      <c r="E58" s="62"/>
      <c r="F58" s="63"/>
      <c r="G58" s="63"/>
      <c r="H58" s="119"/>
      <c r="I58" s="117"/>
      <c r="J58" s="67"/>
      <c r="K58" s="62"/>
      <c r="L58" s="63"/>
      <c r="M58" s="63"/>
      <c r="N58" s="116"/>
      <c r="O58" s="179"/>
      <c r="P58" s="179"/>
      <c r="Q58" s="179"/>
      <c r="R58" s="229"/>
      <c r="S58" s="179"/>
      <c r="T58" s="164"/>
      <c r="U58" s="6"/>
      <c r="V58" s="6"/>
      <c r="W58" s="6"/>
    </row>
    <row r="59" spans="1:23" x14ac:dyDescent="0.3">
      <c r="A59" s="118"/>
      <c r="B59" s="197" t="s">
        <v>118</v>
      </c>
      <c r="C59" s="37"/>
      <c r="D59" s="37"/>
      <c r="E59" s="43"/>
      <c r="F59" s="39"/>
      <c r="G59" s="39"/>
      <c r="H59" s="119">
        <f>H18+H35+H48+H57</f>
        <v>521000</v>
      </c>
      <c r="I59" s="117"/>
      <c r="J59" s="42"/>
      <c r="K59" s="43"/>
      <c r="L59" s="39"/>
      <c r="M59" s="39"/>
      <c r="N59" s="119">
        <f t="shared" ref="N59:Q59" si="22">N18+N35+N48+N57</f>
        <v>285580</v>
      </c>
      <c r="O59" s="120">
        <f t="shared" si="22"/>
        <v>138558.10999999999</v>
      </c>
      <c r="P59" s="120">
        <f t="shared" si="22"/>
        <v>302968.84999999998</v>
      </c>
      <c r="Q59" s="120">
        <f t="shared" si="22"/>
        <v>90380.6</v>
      </c>
      <c r="R59" s="120">
        <f>R18+R35+R48+R57</f>
        <v>531907.56000000006</v>
      </c>
      <c r="S59" s="120">
        <f>S18+S35+S48+S57</f>
        <v>-10907.559999999979</v>
      </c>
      <c r="T59" s="164"/>
      <c r="U59" s="6"/>
      <c r="V59" s="6"/>
      <c r="W59" s="6"/>
    </row>
    <row r="60" spans="1:23" x14ac:dyDescent="0.3">
      <c r="A60" s="111"/>
      <c r="B60" s="199"/>
      <c r="C60" s="60"/>
      <c r="D60" s="60"/>
      <c r="E60" s="62"/>
      <c r="F60" s="63"/>
      <c r="G60" s="63"/>
      <c r="H60" s="119"/>
      <c r="I60" s="117"/>
      <c r="J60" s="67"/>
      <c r="K60" s="62"/>
      <c r="L60" s="63"/>
      <c r="M60" s="63"/>
      <c r="N60" s="116"/>
      <c r="O60" s="179"/>
      <c r="P60" s="179"/>
      <c r="Q60" s="179"/>
      <c r="R60" s="229"/>
      <c r="S60" s="179"/>
      <c r="T60" s="164"/>
      <c r="U60" s="6"/>
      <c r="V60" s="6"/>
      <c r="W60" s="6"/>
    </row>
    <row r="61" spans="1:23" x14ac:dyDescent="0.3">
      <c r="A61" s="35">
        <v>2</v>
      </c>
      <c r="B61" s="263" t="s">
        <v>119</v>
      </c>
      <c r="C61" s="263"/>
      <c r="D61" s="263"/>
      <c r="E61" s="263"/>
      <c r="F61" s="263"/>
      <c r="G61" s="263"/>
      <c r="H61" s="264"/>
      <c r="J61" s="121"/>
      <c r="K61" s="122"/>
      <c r="L61" s="122"/>
      <c r="M61" s="122"/>
      <c r="N61" s="123"/>
      <c r="O61" s="181"/>
      <c r="P61" s="181"/>
      <c r="Q61" s="181"/>
      <c r="R61" s="181"/>
      <c r="S61" s="181"/>
      <c r="T61" s="164"/>
      <c r="U61" s="6"/>
      <c r="V61" s="6"/>
      <c r="W61" s="6"/>
    </row>
    <row r="62" spans="1:23" ht="36" x14ac:dyDescent="0.3">
      <c r="A62" s="68"/>
      <c r="B62" s="61" t="s">
        <v>120</v>
      </c>
      <c r="C62" s="61" t="s">
        <v>121</v>
      </c>
      <c r="D62" s="60" t="s">
        <v>122</v>
      </c>
      <c r="E62" s="62">
        <v>1</v>
      </c>
      <c r="F62" s="63">
        <v>8000</v>
      </c>
      <c r="G62" s="64">
        <v>1</v>
      </c>
      <c r="H62" s="41">
        <f>E62*F62*G62</f>
        <v>8000</v>
      </c>
      <c r="J62" s="67"/>
      <c r="K62" s="62"/>
      <c r="L62" s="63"/>
      <c r="M62" s="64"/>
      <c r="N62" s="65">
        <f>K62*L62*M62</f>
        <v>0</v>
      </c>
      <c r="O62" s="173"/>
      <c r="P62" s="173"/>
      <c r="Q62" s="173"/>
      <c r="R62" s="191"/>
      <c r="S62" s="173"/>
      <c r="T62" s="251" t="s">
        <v>214</v>
      </c>
      <c r="U62" s="6"/>
      <c r="V62" s="6"/>
      <c r="W62" s="6"/>
    </row>
    <row r="63" spans="1:23" x14ac:dyDescent="0.3">
      <c r="A63" s="111"/>
      <c r="B63" s="198" t="s">
        <v>39</v>
      </c>
      <c r="C63" s="69"/>
      <c r="D63" s="69"/>
      <c r="E63" s="70"/>
      <c r="F63" s="71"/>
      <c r="G63" s="71"/>
      <c r="H63" s="119">
        <f>SUM(H62:H62)</f>
        <v>8000</v>
      </c>
      <c r="I63" s="115"/>
      <c r="J63" s="75"/>
      <c r="K63" s="70"/>
      <c r="L63" s="71"/>
      <c r="M63" s="71"/>
      <c r="N63" s="73">
        <f t="shared" ref="N63" si="23">SUM(N62:N62)</f>
        <v>0</v>
      </c>
      <c r="O63" s="174"/>
      <c r="P63" s="174"/>
      <c r="Q63" s="174"/>
      <c r="R63" s="174"/>
      <c r="S63" s="174"/>
      <c r="T63" s="164"/>
      <c r="U63" s="6"/>
      <c r="V63" s="6"/>
      <c r="W63" s="6"/>
    </row>
    <row r="64" spans="1:23" x14ac:dyDescent="0.3">
      <c r="A64" s="44"/>
      <c r="B64" s="200"/>
      <c r="C64" s="60"/>
      <c r="D64" s="60"/>
      <c r="E64" s="62"/>
      <c r="F64" s="63"/>
      <c r="G64" s="63"/>
      <c r="H64" s="41"/>
      <c r="J64" s="67"/>
      <c r="K64" s="62"/>
      <c r="L64" s="63"/>
      <c r="M64" s="63"/>
      <c r="N64" s="65"/>
      <c r="O64" s="173"/>
      <c r="P64" s="173"/>
      <c r="Q64" s="173"/>
      <c r="R64" s="191"/>
      <c r="S64" s="173"/>
      <c r="T64" s="164"/>
      <c r="U64" s="6"/>
      <c r="V64" s="6"/>
      <c r="W64" s="6"/>
    </row>
    <row r="65" spans="1:23" ht="60" x14ac:dyDescent="0.3">
      <c r="A65" s="35">
        <v>3</v>
      </c>
      <c r="B65" s="197" t="s">
        <v>123</v>
      </c>
      <c r="C65" s="36"/>
      <c r="D65" s="37"/>
      <c r="E65" s="43"/>
      <c r="F65" s="39"/>
      <c r="G65" s="39"/>
      <c r="H65" s="41"/>
      <c r="J65" s="42"/>
      <c r="K65" s="43"/>
      <c r="L65" s="39"/>
      <c r="M65" s="39"/>
      <c r="N65" s="41"/>
      <c r="O65" s="182"/>
      <c r="P65" s="182"/>
      <c r="Q65" s="182"/>
      <c r="R65" s="182"/>
      <c r="S65" s="182"/>
      <c r="T65" s="251" t="s">
        <v>184</v>
      </c>
      <c r="U65" s="6"/>
      <c r="V65" s="6"/>
      <c r="W65" s="6"/>
    </row>
    <row r="66" spans="1:23" x14ac:dyDescent="0.3">
      <c r="A66" s="111">
        <v>3.1</v>
      </c>
      <c r="B66" s="60" t="s">
        <v>124</v>
      </c>
      <c r="C66" s="60"/>
      <c r="D66" s="60"/>
      <c r="E66" s="62"/>
      <c r="F66" s="63"/>
      <c r="G66" s="64"/>
      <c r="H66" s="41"/>
      <c r="I66" s="117"/>
      <c r="J66" s="67"/>
      <c r="K66" s="62"/>
      <c r="L66" s="55"/>
      <c r="M66" s="56"/>
      <c r="N66" s="65"/>
      <c r="O66" s="173"/>
      <c r="P66" s="173"/>
      <c r="Q66" s="173"/>
      <c r="R66" s="59"/>
      <c r="S66" s="173"/>
      <c r="T66" s="164"/>
      <c r="U66" s="6"/>
      <c r="V66" s="6"/>
      <c r="W66" s="6"/>
    </row>
    <row r="67" spans="1:23" x14ac:dyDescent="0.3">
      <c r="A67" s="111" t="s">
        <v>125</v>
      </c>
      <c r="B67" s="61" t="s">
        <v>126</v>
      </c>
      <c r="C67" s="60" t="s">
        <v>127</v>
      </c>
      <c r="D67" s="60" t="s">
        <v>128</v>
      </c>
      <c r="E67" s="62">
        <v>24</v>
      </c>
      <c r="F67" s="63">
        <v>3000</v>
      </c>
      <c r="G67" s="64">
        <v>0.4</v>
      </c>
      <c r="H67" s="41">
        <f>E67*F67*G67</f>
        <v>28800</v>
      </c>
      <c r="I67" s="117"/>
      <c r="J67" s="67" t="s">
        <v>128</v>
      </c>
      <c r="K67" s="62">
        <v>12</v>
      </c>
      <c r="L67" s="55">
        <v>3000</v>
      </c>
      <c r="M67" s="56">
        <v>0.4</v>
      </c>
      <c r="N67" s="65">
        <f>K67*L67*M67</f>
        <v>14400</v>
      </c>
      <c r="O67" s="173">
        <v>9579.5499999999993</v>
      </c>
      <c r="P67" s="173">
        <v>17134.939999999999</v>
      </c>
      <c r="Q67" s="173">
        <v>4040.68</v>
      </c>
      <c r="R67" s="59">
        <f t="shared" ref="R67" si="24">O67+P67+Q67</f>
        <v>30755.17</v>
      </c>
      <c r="S67" s="173">
        <f t="shared" ref="S67" si="25">H67-R67</f>
        <v>-1955.1699999999983</v>
      </c>
      <c r="T67" s="166"/>
      <c r="U67" s="6"/>
      <c r="V67" s="6"/>
      <c r="W67" s="6"/>
    </row>
    <row r="68" spans="1:23" x14ac:dyDescent="0.3">
      <c r="A68" s="111" t="s">
        <v>129</v>
      </c>
      <c r="B68" s="61" t="s">
        <v>130</v>
      </c>
      <c r="C68" s="60" t="s">
        <v>131</v>
      </c>
      <c r="D68" s="60" t="s">
        <v>128</v>
      </c>
      <c r="E68" s="62">
        <v>24</v>
      </c>
      <c r="F68" s="63">
        <v>1300</v>
      </c>
      <c r="G68" s="64">
        <v>0.4</v>
      </c>
      <c r="H68" s="41">
        <f t="shared" ref="H68:H83" si="26">E68*F68*G68</f>
        <v>12480</v>
      </c>
      <c r="J68" s="67" t="s">
        <v>128</v>
      </c>
      <c r="K68" s="62">
        <v>12</v>
      </c>
      <c r="L68" s="55">
        <v>1300</v>
      </c>
      <c r="M68" s="56">
        <v>0.4</v>
      </c>
      <c r="N68" s="65">
        <f t="shared" ref="N68:N82" si="27">K68*L68*M68</f>
        <v>6240</v>
      </c>
      <c r="O68" s="173">
        <v>3845.16</v>
      </c>
      <c r="P68" s="173">
        <v>7485.09</v>
      </c>
      <c r="Q68" s="173">
        <v>2023.86</v>
      </c>
      <c r="R68" s="59">
        <f t="shared" ref="R68:R83" si="28">O68+P68+Q68</f>
        <v>13354.11</v>
      </c>
      <c r="S68" s="173">
        <f t="shared" ref="S68:S91" si="29">H68-R68</f>
        <v>-874.11000000000058</v>
      </c>
      <c r="T68" s="164"/>
      <c r="U68" s="6"/>
      <c r="V68" s="6"/>
      <c r="W68" s="6"/>
    </row>
    <row r="69" spans="1:23" x14ac:dyDescent="0.3">
      <c r="A69" s="111" t="s">
        <v>132</v>
      </c>
      <c r="B69" s="200" t="s">
        <v>133</v>
      </c>
      <c r="C69" s="60" t="s">
        <v>134</v>
      </c>
      <c r="D69" s="60" t="s">
        <v>128</v>
      </c>
      <c r="E69" s="62">
        <v>24</v>
      </c>
      <c r="F69" s="63">
        <v>5000</v>
      </c>
      <c r="G69" s="64">
        <v>0.15</v>
      </c>
      <c r="H69" s="41">
        <f t="shared" si="26"/>
        <v>18000</v>
      </c>
      <c r="I69" s="117"/>
      <c r="J69" s="67" t="s">
        <v>128</v>
      </c>
      <c r="K69" s="62">
        <v>12</v>
      </c>
      <c r="L69" s="55">
        <v>5000</v>
      </c>
      <c r="M69" s="56">
        <v>0.15</v>
      </c>
      <c r="N69" s="65">
        <f t="shared" si="27"/>
        <v>9000</v>
      </c>
      <c r="O69" s="204">
        <v>9000</v>
      </c>
      <c r="P69" s="204">
        <v>5250</v>
      </c>
      <c r="Q69" s="173">
        <v>3000</v>
      </c>
      <c r="R69" s="59">
        <f t="shared" si="28"/>
        <v>17250</v>
      </c>
      <c r="S69" s="173">
        <f t="shared" si="29"/>
        <v>750</v>
      </c>
      <c r="T69" s="164"/>
      <c r="U69" s="6"/>
      <c r="V69" s="6"/>
      <c r="W69" s="6"/>
    </row>
    <row r="70" spans="1:23" x14ac:dyDescent="0.3">
      <c r="A70" s="111" t="s">
        <v>135</v>
      </c>
      <c r="B70" s="200" t="s">
        <v>136</v>
      </c>
      <c r="C70" s="60" t="s">
        <v>137</v>
      </c>
      <c r="D70" s="60" t="s">
        <v>128</v>
      </c>
      <c r="E70" s="62">
        <v>24</v>
      </c>
      <c r="F70" s="63">
        <v>5000</v>
      </c>
      <c r="G70" s="64">
        <v>0.2</v>
      </c>
      <c r="H70" s="41">
        <f t="shared" si="26"/>
        <v>24000</v>
      </c>
      <c r="J70" s="67" t="s">
        <v>128</v>
      </c>
      <c r="K70" s="62">
        <v>12</v>
      </c>
      <c r="L70" s="55">
        <v>5000</v>
      </c>
      <c r="M70" s="56">
        <v>0.2</v>
      </c>
      <c r="N70" s="65">
        <f t="shared" si="27"/>
        <v>12000</v>
      </c>
      <c r="O70" s="204">
        <v>12000</v>
      </c>
      <c r="P70" s="204">
        <v>7000</v>
      </c>
      <c r="Q70" s="173">
        <v>3500</v>
      </c>
      <c r="R70" s="59">
        <f t="shared" si="28"/>
        <v>22500</v>
      </c>
      <c r="S70" s="173">
        <f t="shared" si="29"/>
        <v>1500</v>
      </c>
      <c r="T70" s="164"/>
      <c r="U70" s="6"/>
      <c r="V70" s="6"/>
      <c r="W70" s="6"/>
    </row>
    <row r="71" spans="1:23" ht="24" x14ac:dyDescent="0.3">
      <c r="A71" s="111" t="s">
        <v>138</v>
      </c>
      <c r="B71" s="82" t="s">
        <v>139</v>
      </c>
      <c r="C71" s="83"/>
      <c r="D71" s="69" t="s">
        <v>128</v>
      </c>
      <c r="E71" s="70">
        <v>24</v>
      </c>
      <c r="F71" s="84">
        <v>5000</v>
      </c>
      <c r="G71" s="85">
        <v>0.2</v>
      </c>
      <c r="H71" s="41">
        <f>+E71*F71*G71</f>
        <v>24000</v>
      </c>
      <c r="J71" s="58" t="s">
        <v>128</v>
      </c>
      <c r="K71" s="54">
        <v>12</v>
      </c>
      <c r="L71" s="125">
        <v>6700</v>
      </c>
      <c r="M71" s="56">
        <v>0.2</v>
      </c>
      <c r="N71" s="57">
        <f>+K71*L71*M71</f>
        <v>16080</v>
      </c>
      <c r="O71" s="51">
        <v>12000</v>
      </c>
      <c r="P71" s="51">
        <f>12000</f>
        <v>12000</v>
      </c>
      <c r="Q71" s="51">
        <v>2703.92</v>
      </c>
      <c r="R71" s="59">
        <f t="shared" si="28"/>
        <v>26703.919999999998</v>
      </c>
      <c r="S71" s="206">
        <f t="shared" si="29"/>
        <v>-2703.9199999999983</v>
      </c>
      <c r="T71" s="165" t="s">
        <v>221</v>
      </c>
      <c r="U71" s="6"/>
      <c r="V71" s="6"/>
      <c r="W71" s="6"/>
    </row>
    <row r="72" spans="1:23" ht="24" x14ac:dyDescent="0.3">
      <c r="A72" s="111" t="s">
        <v>140</v>
      </c>
      <c r="B72" s="82" t="s">
        <v>141</v>
      </c>
      <c r="C72" s="83"/>
      <c r="D72" s="69" t="s">
        <v>128</v>
      </c>
      <c r="E72" s="70">
        <v>24</v>
      </c>
      <c r="F72" s="84">
        <v>5000</v>
      </c>
      <c r="G72" s="85">
        <v>0.1</v>
      </c>
      <c r="H72" s="41">
        <f>+E72*F72*G72</f>
        <v>12000</v>
      </c>
      <c r="J72" s="58" t="s">
        <v>128</v>
      </c>
      <c r="K72" s="54">
        <v>12</v>
      </c>
      <c r="L72" s="125">
        <v>5800</v>
      </c>
      <c r="M72" s="56">
        <v>0.1</v>
      </c>
      <c r="N72" s="57">
        <f>+K72*L72*M72</f>
        <v>6960</v>
      </c>
      <c r="O72" s="51">
        <v>6000</v>
      </c>
      <c r="P72" s="51">
        <f>12473.3-6000</f>
        <v>6473.2999999999993</v>
      </c>
      <c r="Q72" s="51">
        <v>516.13</v>
      </c>
      <c r="R72" s="59">
        <f>O72+P72+Q72</f>
        <v>12989.429999999998</v>
      </c>
      <c r="S72" s="51">
        <f t="shared" si="29"/>
        <v>-989.42999999999847</v>
      </c>
      <c r="T72" s="167" t="s">
        <v>212</v>
      </c>
      <c r="U72" s="6"/>
      <c r="V72" s="6"/>
      <c r="W72" s="6"/>
    </row>
    <row r="73" spans="1:23" x14ac:dyDescent="0.3">
      <c r="A73" s="68">
        <v>3.2</v>
      </c>
      <c r="B73" s="200" t="s">
        <v>142</v>
      </c>
      <c r="C73" s="60"/>
      <c r="D73" s="60"/>
      <c r="E73" s="62"/>
      <c r="F73" s="63"/>
      <c r="G73" s="64"/>
      <c r="H73" s="41"/>
      <c r="J73" s="67"/>
      <c r="K73" s="62"/>
      <c r="L73" s="55"/>
      <c r="M73" s="56"/>
      <c r="N73" s="65"/>
      <c r="O73" s="194"/>
      <c r="P73" s="194"/>
      <c r="Q73" s="194"/>
      <c r="R73" s="59">
        <f t="shared" si="28"/>
        <v>0</v>
      </c>
      <c r="S73" s="194">
        <f t="shared" si="29"/>
        <v>0</v>
      </c>
      <c r="T73" s="164"/>
      <c r="U73" s="6"/>
      <c r="V73" s="6"/>
      <c r="W73" s="6"/>
    </row>
    <row r="74" spans="1:23" ht="36" x14ac:dyDescent="0.3">
      <c r="A74" s="111" t="s">
        <v>143</v>
      </c>
      <c r="B74" s="61" t="s">
        <v>144</v>
      </c>
      <c r="C74" s="61" t="s">
        <v>145</v>
      </c>
      <c r="D74" s="60" t="s">
        <v>146</v>
      </c>
      <c r="E74" s="62">
        <v>1</v>
      </c>
      <c r="F74" s="63">
        <v>1400</v>
      </c>
      <c r="G74" s="64">
        <v>1</v>
      </c>
      <c r="H74" s="41">
        <f t="shared" si="26"/>
        <v>1400</v>
      </c>
      <c r="J74" s="67" t="s">
        <v>146</v>
      </c>
      <c r="K74" s="62">
        <v>1</v>
      </c>
      <c r="L74" s="55">
        <v>1400</v>
      </c>
      <c r="M74" s="56">
        <v>1</v>
      </c>
      <c r="N74" s="65">
        <f t="shared" si="27"/>
        <v>1400</v>
      </c>
      <c r="O74" s="51"/>
      <c r="P74" s="51"/>
      <c r="Q74" s="51"/>
      <c r="R74" s="59">
        <f t="shared" si="28"/>
        <v>0</v>
      </c>
      <c r="S74" s="51">
        <f t="shared" si="29"/>
        <v>1400</v>
      </c>
      <c r="T74" s="164"/>
      <c r="U74" s="6"/>
      <c r="V74" s="6"/>
      <c r="W74" s="6"/>
    </row>
    <row r="75" spans="1:23" x14ac:dyDescent="0.3">
      <c r="A75" s="111" t="s">
        <v>147</v>
      </c>
      <c r="B75" s="200" t="s">
        <v>148</v>
      </c>
      <c r="C75" s="60" t="s">
        <v>149</v>
      </c>
      <c r="D75" s="60" t="s">
        <v>150</v>
      </c>
      <c r="E75" s="62">
        <v>1</v>
      </c>
      <c r="F75" s="63">
        <v>100</v>
      </c>
      <c r="G75" s="64">
        <v>1</v>
      </c>
      <c r="H75" s="41">
        <f t="shared" si="26"/>
        <v>100</v>
      </c>
      <c r="J75" s="66" t="s">
        <v>150</v>
      </c>
      <c r="K75" s="126">
        <v>1</v>
      </c>
      <c r="L75" s="127">
        <v>100</v>
      </c>
      <c r="M75" s="64">
        <v>1</v>
      </c>
      <c r="N75" s="65">
        <f t="shared" si="27"/>
        <v>100</v>
      </c>
      <c r="O75" s="51"/>
      <c r="P75" s="51"/>
      <c r="Q75" s="51"/>
      <c r="R75" s="59">
        <f t="shared" si="28"/>
        <v>0</v>
      </c>
      <c r="S75" s="51">
        <f t="shared" si="29"/>
        <v>100</v>
      </c>
      <c r="T75" s="164"/>
      <c r="U75" s="6"/>
      <c r="V75" s="6"/>
      <c r="W75" s="6"/>
    </row>
    <row r="76" spans="1:23" x14ac:dyDescent="0.3">
      <c r="A76" s="111" t="s">
        <v>151</v>
      </c>
      <c r="B76" s="200" t="s">
        <v>152</v>
      </c>
      <c r="C76" s="60" t="s">
        <v>153</v>
      </c>
      <c r="D76" s="60" t="s">
        <v>154</v>
      </c>
      <c r="E76" s="62">
        <v>7</v>
      </c>
      <c r="F76" s="63">
        <v>165</v>
      </c>
      <c r="G76" s="64">
        <v>1</v>
      </c>
      <c r="H76" s="41">
        <f t="shared" si="26"/>
        <v>1155</v>
      </c>
      <c r="J76" s="67" t="s">
        <v>154</v>
      </c>
      <c r="K76" s="62">
        <v>7</v>
      </c>
      <c r="L76" s="63">
        <v>165</v>
      </c>
      <c r="M76" s="64">
        <v>1</v>
      </c>
      <c r="N76" s="65">
        <f t="shared" si="27"/>
        <v>1155</v>
      </c>
      <c r="O76" s="51"/>
      <c r="P76" s="51"/>
      <c r="Q76" s="100"/>
      <c r="R76" s="59">
        <f t="shared" si="28"/>
        <v>0</v>
      </c>
      <c r="S76" s="51">
        <f t="shared" si="29"/>
        <v>1155</v>
      </c>
      <c r="T76" s="164"/>
      <c r="U76" s="6"/>
      <c r="V76" s="6"/>
      <c r="W76" s="6"/>
    </row>
    <row r="77" spans="1:23" x14ac:dyDescent="0.3">
      <c r="A77" s="111" t="s">
        <v>155</v>
      </c>
      <c r="B77" s="82" t="s">
        <v>156</v>
      </c>
      <c r="C77" s="83" t="s">
        <v>157</v>
      </c>
      <c r="D77" s="69" t="s">
        <v>158</v>
      </c>
      <c r="E77" s="70">
        <v>1</v>
      </c>
      <c r="F77" s="71">
        <v>1400</v>
      </c>
      <c r="G77" s="85">
        <v>1</v>
      </c>
      <c r="H77" s="41">
        <f t="shared" ref="H77:H78" si="30">+E77*F77*G77</f>
        <v>1400</v>
      </c>
      <c r="J77" s="58" t="s">
        <v>158</v>
      </c>
      <c r="K77" s="54">
        <v>1</v>
      </c>
      <c r="L77" s="55">
        <v>1400</v>
      </c>
      <c r="M77" s="56">
        <v>1</v>
      </c>
      <c r="N77" s="57">
        <f t="shared" ref="N77:N78" si="31">+K77*L77*M77</f>
        <v>1400</v>
      </c>
      <c r="O77" s="51"/>
      <c r="P77" s="51"/>
      <c r="Q77" s="51"/>
      <c r="R77" s="59">
        <f t="shared" si="28"/>
        <v>0</v>
      </c>
      <c r="S77" s="51">
        <f t="shared" si="29"/>
        <v>1400</v>
      </c>
      <c r="T77" s="164"/>
      <c r="U77" s="6"/>
      <c r="V77" s="6"/>
      <c r="W77" s="6"/>
    </row>
    <row r="78" spans="1:23" ht="24" x14ac:dyDescent="0.3">
      <c r="A78" s="111" t="s">
        <v>159</v>
      </c>
      <c r="B78" s="201" t="s">
        <v>160</v>
      </c>
      <c r="C78" s="83" t="s">
        <v>153</v>
      </c>
      <c r="D78" s="69" t="s">
        <v>161</v>
      </c>
      <c r="E78" s="70">
        <v>7</v>
      </c>
      <c r="F78" s="71">
        <v>165</v>
      </c>
      <c r="G78" s="85">
        <v>1</v>
      </c>
      <c r="H78" s="41">
        <f t="shared" si="30"/>
        <v>1155</v>
      </c>
      <c r="J78" s="58" t="s">
        <v>161</v>
      </c>
      <c r="K78" s="54">
        <v>7</v>
      </c>
      <c r="L78" s="55">
        <v>165</v>
      </c>
      <c r="M78" s="56">
        <v>1</v>
      </c>
      <c r="N78" s="57">
        <f t="shared" si="31"/>
        <v>1155</v>
      </c>
      <c r="O78" s="51"/>
      <c r="P78" s="51"/>
      <c r="Q78" s="51"/>
      <c r="R78" s="59">
        <f t="shared" si="28"/>
        <v>0</v>
      </c>
      <c r="S78" s="51">
        <f t="shared" si="29"/>
        <v>1155</v>
      </c>
      <c r="T78" s="164"/>
      <c r="U78" s="6"/>
      <c r="V78" s="6"/>
      <c r="W78" s="6"/>
    </row>
    <row r="79" spans="1:23" x14ac:dyDescent="0.3">
      <c r="A79" s="68">
        <v>3.3</v>
      </c>
      <c r="B79" s="200" t="s">
        <v>162</v>
      </c>
      <c r="C79" s="60"/>
      <c r="D79" s="124"/>
      <c r="E79" s="62"/>
      <c r="F79" s="63"/>
      <c r="G79" s="64"/>
      <c r="H79" s="41"/>
      <c r="J79" s="128"/>
      <c r="K79" s="54"/>
      <c r="L79" s="55"/>
      <c r="M79" s="56"/>
      <c r="N79" s="57"/>
      <c r="O79" s="51"/>
      <c r="P79" s="51"/>
      <c r="Q79" s="51"/>
      <c r="R79" s="59">
        <f t="shared" si="28"/>
        <v>0</v>
      </c>
      <c r="S79" s="51">
        <f t="shared" si="29"/>
        <v>0</v>
      </c>
      <c r="T79" s="164"/>
      <c r="U79" s="6"/>
      <c r="V79" s="6"/>
      <c r="W79" s="6"/>
    </row>
    <row r="80" spans="1:23" ht="24" x14ac:dyDescent="0.3">
      <c r="A80" s="68" t="s">
        <v>163</v>
      </c>
      <c r="B80" s="200" t="s">
        <v>164</v>
      </c>
      <c r="C80" s="60" t="s">
        <v>165</v>
      </c>
      <c r="D80" s="60" t="s">
        <v>122</v>
      </c>
      <c r="E80" s="62">
        <v>2</v>
      </c>
      <c r="F80" s="63">
        <v>1500</v>
      </c>
      <c r="G80" s="64">
        <v>1</v>
      </c>
      <c r="H80" s="41">
        <f t="shared" si="26"/>
        <v>3000</v>
      </c>
      <c r="J80" s="58" t="s">
        <v>122</v>
      </c>
      <c r="K80" s="54">
        <v>1</v>
      </c>
      <c r="L80" s="55">
        <v>1500</v>
      </c>
      <c r="M80" s="56">
        <v>1</v>
      </c>
      <c r="N80" s="57">
        <f t="shared" si="27"/>
        <v>1500</v>
      </c>
      <c r="O80" s="223">
        <v>1500</v>
      </c>
      <c r="P80" s="223">
        <v>1500</v>
      </c>
      <c r="Q80" s="51"/>
      <c r="R80" s="59">
        <f t="shared" si="28"/>
        <v>3000</v>
      </c>
      <c r="S80" s="51">
        <f t="shared" si="29"/>
        <v>0</v>
      </c>
      <c r="T80" s="164"/>
      <c r="U80" s="6"/>
      <c r="V80" s="6"/>
      <c r="W80" s="6"/>
    </row>
    <row r="81" spans="1:23" x14ac:dyDescent="0.3">
      <c r="A81" s="68" t="s">
        <v>166</v>
      </c>
      <c r="B81" s="200" t="s">
        <v>167</v>
      </c>
      <c r="C81" s="60" t="s">
        <v>168</v>
      </c>
      <c r="D81" s="124" t="s">
        <v>128</v>
      </c>
      <c r="E81" s="62">
        <v>24</v>
      </c>
      <c r="F81" s="63">
        <v>150</v>
      </c>
      <c r="G81" s="64">
        <v>1</v>
      </c>
      <c r="H81" s="41">
        <f t="shared" si="26"/>
        <v>3600</v>
      </c>
      <c r="J81" s="128" t="s">
        <v>128</v>
      </c>
      <c r="K81" s="54">
        <v>12</v>
      </c>
      <c r="L81" s="55">
        <v>150</v>
      </c>
      <c r="M81" s="56">
        <v>1</v>
      </c>
      <c r="N81" s="57">
        <f t="shared" si="27"/>
        <v>1800</v>
      </c>
      <c r="O81" s="224">
        <f>81+1719</f>
        <v>1800</v>
      </c>
      <c r="P81" s="224">
        <v>1287.19</v>
      </c>
      <c r="Q81" s="224">
        <f>223.32+375</f>
        <v>598.31999999999994</v>
      </c>
      <c r="R81" s="59">
        <f t="shared" si="28"/>
        <v>3685.51</v>
      </c>
      <c r="S81" s="51">
        <f t="shared" si="29"/>
        <v>-85.510000000000218</v>
      </c>
      <c r="T81" s="164"/>
      <c r="U81" s="6"/>
      <c r="V81" s="6"/>
      <c r="W81" s="6"/>
    </row>
    <row r="82" spans="1:23" x14ac:dyDescent="0.3">
      <c r="A82" s="68" t="s">
        <v>169</v>
      </c>
      <c r="B82" s="200" t="s">
        <v>170</v>
      </c>
      <c r="C82" s="124"/>
      <c r="D82" s="124" t="s">
        <v>128</v>
      </c>
      <c r="E82" s="62">
        <v>24</v>
      </c>
      <c r="F82" s="129">
        <v>850</v>
      </c>
      <c r="G82" s="64">
        <v>0.1</v>
      </c>
      <c r="H82" s="41">
        <f t="shared" si="26"/>
        <v>2040</v>
      </c>
      <c r="J82" s="128" t="s">
        <v>128</v>
      </c>
      <c r="K82" s="54">
        <v>12</v>
      </c>
      <c r="L82" s="125">
        <v>850</v>
      </c>
      <c r="M82" s="56">
        <v>0.1</v>
      </c>
      <c r="N82" s="57">
        <f t="shared" si="27"/>
        <v>1020</v>
      </c>
      <c r="O82" s="51">
        <v>738.4</v>
      </c>
      <c r="P82" s="51">
        <v>1147.05</v>
      </c>
      <c r="Q82" s="51"/>
      <c r="R82" s="59">
        <f t="shared" si="28"/>
        <v>1885.4499999999998</v>
      </c>
      <c r="S82" s="51">
        <f t="shared" si="29"/>
        <v>154.55000000000018</v>
      </c>
      <c r="T82" s="164"/>
      <c r="U82" s="6"/>
      <c r="V82" s="6"/>
      <c r="W82" s="6"/>
    </row>
    <row r="83" spans="1:23" x14ac:dyDescent="0.3">
      <c r="A83" s="68" t="s">
        <v>171</v>
      </c>
      <c r="B83" s="200" t="s">
        <v>172</v>
      </c>
      <c r="C83" s="124"/>
      <c r="D83" s="124" t="s">
        <v>128</v>
      </c>
      <c r="E83" s="62">
        <v>24</v>
      </c>
      <c r="F83" s="129">
        <v>450</v>
      </c>
      <c r="G83" s="64">
        <v>0.5</v>
      </c>
      <c r="H83" s="41">
        <f t="shared" si="26"/>
        <v>5400</v>
      </c>
      <c r="J83" s="128" t="s">
        <v>128</v>
      </c>
      <c r="K83" s="54">
        <v>12</v>
      </c>
      <c r="L83" s="125">
        <v>450</v>
      </c>
      <c r="M83" s="56">
        <v>0.5</v>
      </c>
      <c r="N83" s="57">
        <f t="shared" ref="N83" si="32">+K83*L83*M83</f>
        <v>2700</v>
      </c>
      <c r="O83" s="51"/>
      <c r="P83" s="51">
        <v>4332.78</v>
      </c>
      <c r="Q83" s="51"/>
      <c r="R83" s="59">
        <f t="shared" si="28"/>
        <v>4332.78</v>
      </c>
      <c r="S83" s="51">
        <f t="shared" si="29"/>
        <v>1067.2200000000003</v>
      </c>
      <c r="T83" s="164"/>
      <c r="U83" s="6"/>
      <c r="V83" s="6"/>
      <c r="W83" s="6"/>
    </row>
    <row r="84" spans="1:23" s="132" customFormat="1" x14ac:dyDescent="0.3">
      <c r="A84" s="130"/>
      <c r="B84" s="202"/>
      <c r="C84" s="124"/>
      <c r="D84" s="124"/>
      <c r="E84" s="124"/>
      <c r="F84" s="124"/>
      <c r="G84" s="131"/>
      <c r="H84" s="119"/>
      <c r="J84" s="133"/>
      <c r="K84" s="124"/>
      <c r="L84" s="124"/>
      <c r="M84" s="131"/>
      <c r="N84" s="116"/>
      <c r="O84" s="195"/>
      <c r="P84" s="195"/>
      <c r="Q84" s="195"/>
      <c r="R84" s="59"/>
      <c r="S84" s="195"/>
      <c r="T84" s="168"/>
      <c r="U84" s="134"/>
      <c r="V84" s="134"/>
      <c r="W84" s="134"/>
    </row>
    <row r="85" spans="1:23" ht="24" x14ac:dyDescent="0.3">
      <c r="A85" s="35"/>
      <c r="B85" s="197" t="s">
        <v>173</v>
      </c>
      <c r="C85" s="36"/>
      <c r="D85" s="36"/>
      <c r="E85" s="135"/>
      <c r="F85" s="120"/>
      <c r="G85" s="120"/>
      <c r="H85" s="119">
        <f>SUM(H67:H84)</f>
        <v>138530</v>
      </c>
      <c r="J85" s="136"/>
      <c r="K85" s="135"/>
      <c r="L85" s="120"/>
      <c r="M85" s="120"/>
      <c r="N85" s="119">
        <f t="shared" ref="N85:Q85" si="33">SUM(N67:N84)</f>
        <v>76910</v>
      </c>
      <c r="O85" s="120">
        <f t="shared" si="33"/>
        <v>56463.11</v>
      </c>
      <c r="P85" s="120">
        <f t="shared" si="33"/>
        <v>63610.350000000006</v>
      </c>
      <c r="Q85" s="120">
        <f t="shared" si="33"/>
        <v>16382.91</v>
      </c>
      <c r="R85" s="120">
        <f>SUM(R67:R84)</f>
        <v>136456.37</v>
      </c>
      <c r="S85" s="180">
        <f t="shared" si="29"/>
        <v>2073.6300000000047</v>
      </c>
      <c r="T85" s="164"/>
      <c r="U85" s="6"/>
      <c r="V85" s="6"/>
      <c r="W85" s="6"/>
    </row>
    <row r="86" spans="1:23" x14ac:dyDescent="0.3">
      <c r="A86" s="137"/>
      <c r="B86" s="199"/>
      <c r="C86" s="77"/>
      <c r="D86" s="77"/>
      <c r="E86" s="138"/>
      <c r="F86" s="139"/>
      <c r="G86" s="139"/>
      <c r="H86" s="119"/>
      <c r="J86" s="140"/>
      <c r="K86" s="138"/>
      <c r="L86" s="139"/>
      <c r="M86" s="139"/>
      <c r="N86" s="116"/>
      <c r="O86" s="179"/>
      <c r="P86" s="179"/>
      <c r="Q86" s="179"/>
      <c r="R86" s="229"/>
      <c r="S86" s="179"/>
      <c r="T86" s="164"/>
      <c r="U86" s="6"/>
      <c r="V86" s="6"/>
      <c r="W86" s="6"/>
    </row>
    <row r="87" spans="1:23" ht="24" x14ac:dyDescent="0.3">
      <c r="A87" s="35">
        <v>4</v>
      </c>
      <c r="B87" s="197" t="s">
        <v>174</v>
      </c>
      <c r="C87" s="36"/>
      <c r="D87" s="37"/>
      <c r="E87" s="43"/>
      <c r="F87" s="120"/>
      <c r="G87" s="120"/>
      <c r="H87" s="141">
        <f>H59+H63+H85</f>
        <v>667530</v>
      </c>
      <c r="J87" s="42"/>
      <c r="K87" s="43"/>
      <c r="L87" s="120"/>
      <c r="M87" s="120"/>
      <c r="N87" s="141">
        <f t="shared" ref="N87:Q87" si="34">N59+N63+N85</f>
        <v>362490</v>
      </c>
      <c r="O87" s="120">
        <f t="shared" si="34"/>
        <v>195021.21999999997</v>
      </c>
      <c r="P87" s="120">
        <f t="shared" si="34"/>
        <v>366579.19999999995</v>
      </c>
      <c r="Q87" s="120">
        <f t="shared" si="34"/>
        <v>106763.51000000001</v>
      </c>
      <c r="R87" s="120">
        <f>R59+R63+R85</f>
        <v>668363.93000000005</v>
      </c>
      <c r="S87" s="183">
        <f t="shared" si="29"/>
        <v>-833.93000000005122</v>
      </c>
      <c r="T87" s="164"/>
      <c r="U87" s="6"/>
      <c r="V87" s="6"/>
      <c r="W87" s="6"/>
    </row>
    <row r="88" spans="1:23" x14ac:dyDescent="0.3">
      <c r="A88" s="137"/>
      <c r="B88" s="61"/>
      <c r="C88" s="60"/>
      <c r="D88" s="60"/>
      <c r="E88" s="62"/>
      <c r="F88" s="63"/>
      <c r="G88" s="63"/>
      <c r="H88" s="41"/>
      <c r="J88" s="67"/>
      <c r="K88" s="62"/>
      <c r="L88" s="63"/>
      <c r="M88" s="63"/>
      <c r="N88" s="65"/>
      <c r="O88" s="173"/>
      <c r="P88" s="173"/>
      <c r="Q88" s="173"/>
      <c r="R88" s="191"/>
      <c r="S88" s="173"/>
      <c r="T88" s="164"/>
      <c r="U88" s="6"/>
      <c r="V88" s="6"/>
      <c r="W88" s="6"/>
    </row>
    <row r="89" spans="1:23" ht="36" x14ac:dyDescent="0.3">
      <c r="A89" s="143">
        <v>5</v>
      </c>
      <c r="B89" s="197" t="s">
        <v>175</v>
      </c>
      <c r="C89" s="37"/>
      <c r="D89" s="144"/>
      <c r="E89" s="43"/>
      <c r="F89" s="39"/>
      <c r="G89" s="39"/>
      <c r="H89" s="119">
        <f>H87*7%</f>
        <v>46727.100000000006</v>
      </c>
      <c r="J89" s="145"/>
      <c r="K89" s="43"/>
      <c r="L89" s="39"/>
      <c r="M89" s="39"/>
      <c r="N89" s="119">
        <f t="shared" ref="N89:R89" si="35">N87*7%</f>
        <v>25374.300000000003</v>
      </c>
      <c r="O89" s="120">
        <f t="shared" si="35"/>
        <v>13651.4854</v>
      </c>
      <c r="P89" s="120">
        <f t="shared" si="35"/>
        <v>25660.543999999998</v>
      </c>
      <c r="Q89" s="120">
        <f t="shared" si="35"/>
        <v>7473.4457000000011</v>
      </c>
      <c r="R89" s="120">
        <f t="shared" si="35"/>
        <v>46785.475100000011</v>
      </c>
      <c r="S89" s="180">
        <f t="shared" si="29"/>
        <v>-58.37510000000475</v>
      </c>
      <c r="T89" s="164"/>
      <c r="U89" s="6"/>
      <c r="V89" s="6"/>
      <c r="W89" s="6"/>
    </row>
    <row r="90" spans="1:23" x14ac:dyDescent="0.3">
      <c r="A90" s="137"/>
      <c r="B90" s="61"/>
      <c r="C90" s="60"/>
      <c r="D90" s="60"/>
      <c r="E90" s="62"/>
      <c r="F90" s="63"/>
      <c r="G90" s="63"/>
      <c r="H90" s="41"/>
      <c r="J90" s="67"/>
      <c r="K90" s="62"/>
      <c r="L90" s="63"/>
      <c r="M90" s="63"/>
      <c r="N90" s="65"/>
      <c r="O90" s="173"/>
      <c r="P90" s="173"/>
      <c r="Q90" s="173"/>
      <c r="R90" s="191"/>
      <c r="S90" s="173"/>
      <c r="T90" s="164"/>
      <c r="U90" s="6"/>
      <c r="V90" s="6"/>
      <c r="W90" s="6"/>
    </row>
    <row r="91" spans="1:23" ht="24" x14ac:dyDescent="0.3">
      <c r="A91" s="35">
        <v>6</v>
      </c>
      <c r="B91" s="197" t="s">
        <v>176</v>
      </c>
      <c r="C91" s="36"/>
      <c r="D91" s="37"/>
      <c r="E91" s="43"/>
      <c r="F91" s="120"/>
      <c r="G91" s="120"/>
      <c r="H91" s="141">
        <f>H87+H89</f>
        <v>714257.1</v>
      </c>
      <c r="J91" s="42"/>
      <c r="K91" s="43"/>
      <c r="L91" s="120"/>
      <c r="M91" s="120"/>
      <c r="N91" s="141">
        <f t="shared" ref="N91:R91" si="36">N87+N89</f>
        <v>387864.3</v>
      </c>
      <c r="O91" s="142">
        <f t="shared" si="36"/>
        <v>208672.70539999998</v>
      </c>
      <c r="P91" s="142">
        <f t="shared" si="36"/>
        <v>392239.74399999995</v>
      </c>
      <c r="Q91" s="142">
        <f t="shared" si="36"/>
        <v>114236.95570000001</v>
      </c>
      <c r="R91" s="142">
        <f t="shared" si="36"/>
        <v>715149.40510000009</v>
      </c>
      <c r="S91" s="183">
        <f t="shared" si="29"/>
        <v>-892.30510000011418</v>
      </c>
      <c r="T91" s="164"/>
      <c r="U91" s="6"/>
      <c r="V91" s="6"/>
      <c r="W91" s="6"/>
    </row>
    <row r="92" spans="1:23" x14ac:dyDescent="0.3">
      <c r="A92" s="146"/>
      <c r="B92" s="61"/>
      <c r="C92" s="60"/>
      <c r="D92" s="60"/>
      <c r="E92" s="60"/>
      <c r="F92" s="60"/>
      <c r="G92" s="60"/>
      <c r="H92" s="151"/>
      <c r="J92" s="147"/>
      <c r="K92" s="148"/>
      <c r="L92" s="148"/>
      <c r="M92" s="148"/>
      <c r="N92" s="149"/>
      <c r="O92" s="184"/>
      <c r="P92" s="184"/>
      <c r="Q92" s="184"/>
      <c r="R92" s="192"/>
      <c r="S92" s="184"/>
      <c r="T92" s="164"/>
      <c r="U92" s="6"/>
      <c r="V92" s="6"/>
      <c r="W92" s="6"/>
    </row>
    <row r="93" spans="1:23" x14ac:dyDescent="0.3">
      <c r="A93" s="150">
        <v>7</v>
      </c>
      <c r="B93" s="197" t="s">
        <v>177</v>
      </c>
      <c r="C93" s="37"/>
      <c r="D93" s="37"/>
      <c r="E93" s="37"/>
      <c r="F93" s="37"/>
      <c r="G93" s="37"/>
      <c r="H93" s="151"/>
      <c r="J93" s="121"/>
      <c r="K93" s="122"/>
      <c r="L93" s="122"/>
      <c r="M93" s="122"/>
      <c r="N93" s="123"/>
      <c r="O93" s="181"/>
      <c r="P93" s="181"/>
      <c r="Q93" s="181"/>
      <c r="R93" s="181"/>
      <c r="S93" s="181"/>
      <c r="T93" s="164"/>
      <c r="U93" s="6"/>
      <c r="V93" s="6"/>
      <c r="W93" s="6"/>
    </row>
    <row r="94" spans="1:23" x14ac:dyDescent="0.3">
      <c r="A94" s="146"/>
      <c r="B94" s="61" t="s">
        <v>178</v>
      </c>
      <c r="C94" s="60"/>
      <c r="D94" s="60" t="s">
        <v>22</v>
      </c>
      <c r="E94" s="60">
        <v>2</v>
      </c>
      <c r="F94" s="129">
        <v>5000</v>
      </c>
      <c r="G94" s="152">
        <v>1</v>
      </c>
      <c r="H94" s="41">
        <f t="shared" ref="H94:H95" si="37">E94*F94*G94</f>
        <v>10000</v>
      </c>
      <c r="J94" s="147" t="s">
        <v>22</v>
      </c>
      <c r="K94" s="148">
        <v>1</v>
      </c>
      <c r="L94" s="153">
        <v>5000</v>
      </c>
      <c r="M94" s="154">
        <v>1</v>
      </c>
      <c r="N94" s="65">
        <f t="shared" ref="N94:N95" si="38">K94*L94*M94</f>
        <v>5000</v>
      </c>
      <c r="O94" s="173">
        <v>5000</v>
      </c>
      <c r="P94" s="173">
        <v>5000</v>
      </c>
      <c r="Q94" s="173"/>
      <c r="R94" s="230">
        <f>O94+P94+Q94+938.1</f>
        <v>10938.1</v>
      </c>
      <c r="S94" s="173">
        <f t="shared" ref="S94:S98" si="39">H94-R94</f>
        <v>-938.10000000000036</v>
      </c>
      <c r="T94" s="164"/>
      <c r="U94" s="6"/>
      <c r="V94" s="6"/>
      <c r="W94" s="6"/>
    </row>
    <row r="95" spans="1:23" x14ac:dyDescent="0.3">
      <c r="A95" s="146"/>
      <c r="B95" s="61" t="s">
        <v>179</v>
      </c>
      <c r="C95" s="60"/>
      <c r="D95" s="60" t="s">
        <v>22</v>
      </c>
      <c r="E95" s="60">
        <v>0.5</v>
      </c>
      <c r="F95" s="129">
        <v>75000</v>
      </c>
      <c r="G95" s="152">
        <v>1</v>
      </c>
      <c r="H95" s="41">
        <f t="shared" si="37"/>
        <v>37500</v>
      </c>
      <c r="J95" s="147" t="s">
        <v>22</v>
      </c>
      <c r="K95" s="148">
        <v>0.5</v>
      </c>
      <c r="L95" s="153">
        <v>75000</v>
      </c>
      <c r="M95" s="154">
        <v>1</v>
      </c>
      <c r="N95" s="65">
        <f t="shared" si="38"/>
        <v>37500</v>
      </c>
      <c r="O95" s="173">
        <v>37500</v>
      </c>
      <c r="P95" s="173"/>
      <c r="Q95" s="173"/>
      <c r="R95" s="230">
        <f>O95+P95+Q95</f>
        <v>37500</v>
      </c>
      <c r="S95" s="173">
        <f t="shared" si="39"/>
        <v>0</v>
      </c>
      <c r="T95" s="164"/>
      <c r="U95" s="6"/>
      <c r="V95" s="6"/>
      <c r="W95" s="6"/>
    </row>
    <row r="96" spans="1:23" x14ac:dyDescent="0.3">
      <c r="A96" s="146"/>
      <c r="B96" s="199" t="s">
        <v>180</v>
      </c>
      <c r="C96" s="60"/>
      <c r="D96" s="60"/>
      <c r="E96" s="60"/>
      <c r="F96" s="60"/>
      <c r="G96" s="60"/>
      <c r="H96" s="231">
        <f>SUM(H94:H95)</f>
        <v>47500</v>
      </c>
      <c r="J96" s="147"/>
      <c r="K96" s="148"/>
      <c r="L96" s="148"/>
      <c r="M96" s="148"/>
      <c r="N96" s="155">
        <f t="shared" ref="N96" si="40">SUM(N94:N95)</f>
        <v>42500</v>
      </c>
      <c r="O96" s="185"/>
      <c r="P96" s="185"/>
      <c r="Q96" s="185"/>
      <c r="R96" s="230">
        <f>SUM(R94:R95)</f>
        <v>48438.1</v>
      </c>
      <c r="S96" s="185">
        <f t="shared" si="39"/>
        <v>-938.09999999999854</v>
      </c>
      <c r="T96" s="164"/>
      <c r="U96" s="6"/>
      <c r="V96" s="6"/>
      <c r="W96" s="6"/>
    </row>
    <row r="97" spans="1:23" x14ac:dyDescent="0.3">
      <c r="A97" s="146"/>
      <c r="B97" s="61"/>
      <c r="C97" s="252"/>
      <c r="D97" s="60"/>
      <c r="E97" s="60"/>
      <c r="F97" s="60"/>
      <c r="G97" s="60"/>
      <c r="H97" s="151"/>
      <c r="J97" s="147"/>
      <c r="K97" s="148"/>
      <c r="L97" s="148"/>
      <c r="M97" s="148"/>
      <c r="N97" s="149"/>
      <c r="O97" s="184"/>
      <c r="P97" s="184"/>
      <c r="Q97" s="184"/>
      <c r="R97" s="230"/>
      <c r="S97" s="184">
        <f t="shared" si="39"/>
        <v>0</v>
      </c>
      <c r="T97" s="164"/>
      <c r="U97" s="6"/>
      <c r="V97" s="6"/>
      <c r="W97" s="6"/>
    </row>
    <row r="98" spans="1:23" ht="24" x14ac:dyDescent="0.3">
      <c r="A98" s="156">
        <v>8</v>
      </c>
      <c r="B98" s="203" t="s">
        <v>181</v>
      </c>
      <c r="C98" s="253"/>
      <c r="D98" s="157"/>
      <c r="E98" s="157"/>
      <c r="F98" s="157"/>
      <c r="G98" s="157"/>
      <c r="H98" s="158">
        <f>H91-H96</f>
        <v>666757.1</v>
      </c>
      <c r="J98" s="159"/>
      <c r="K98" s="160"/>
      <c r="L98" s="160"/>
      <c r="M98" s="160"/>
      <c r="N98" s="161">
        <f t="shared" ref="N98" si="41">N91-N96</f>
        <v>345364.3</v>
      </c>
      <c r="O98" s="186"/>
      <c r="P98" s="186"/>
      <c r="Q98" s="186"/>
      <c r="R98" s="186">
        <f>R91-R96</f>
        <v>666711.30510000011</v>
      </c>
      <c r="S98" s="186">
        <f t="shared" si="39"/>
        <v>45.794899999862537</v>
      </c>
      <c r="T98" s="164"/>
      <c r="U98" s="6"/>
      <c r="V98" s="6"/>
      <c r="W98" s="6"/>
    </row>
  </sheetData>
  <mergeCells count="4">
    <mergeCell ref="B20:H20"/>
    <mergeCell ref="B50:H50"/>
    <mergeCell ref="B61:H61"/>
    <mergeCell ref="O8:S8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"/>
  <sheetViews>
    <sheetView workbookViewId="0">
      <selection activeCell="G24" sqref="G24"/>
    </sheetView>
  </sheetViews>
  <sheetFormatPr defaultColWidth="9.109375" defaultRowHeight="14.4" x14ac:dyDescent="0.3"/>
  <cols>
    <col min="1" max="1" width="4" customWidth="1"/>
    <col min="2" max="2" width="29.109375" customWidth="1"/>
    <col min="3" max="3" width="19.33203125" customWidth="1"/>
    <col min="4" max="4" width="18.6640625" customWidth="1"/>
    <col min="5" max="5" width="18.109375" customWidth="1"/>
    <col min="7" max="7" width="44.21875" customWidth="1"/>
  </cols>
  <sheetData>
    <row r="1" spans="1:11" s="215" customFormat="1" x14ac:dyDescent="0.3">
      <c r="C1" s="233" t="s">
        <v>202</v>
      </c>
      <c r="D1" s="169" t="s">
        <v>203</v>
      </c>
      <c r="E1" s="169" t="s">
        <v>204</v>
      </c>
    </row>
    <row r="2" spans="1:11" s="215" customFormat="1" x14ac:dyDescent="0.3">
      <c r="B2" s="207" t="s">
        <v>178</v>
      </c>
      <c r="C2" s="242">
        <f>157241.85+4054.93</f>
        <v>161296.78</v>
      </c>
      <c r="D2" s="169">
        <v>10000</v>
      </c>
      <c r="E2" s="239">
        <f>C2-D2</f>
        <v>151296.78</v>
      </c>
    </row>
    <row r="3" spans="1:11" s="215" customFormat="1" x14ac:dyDescent="0.3">
      <c r="B3" s="209" t="s">
        <v>201</v>
      </c>
      <c r="C3" s="243">
        <f>557015.25-4054.93</f>
        <v>552960.31999999995</v>
      </c>
      <c r="D3" s="235">
        <v>37500</v>
      </c>
      <c r="E3" s="240">
        <f>C3-D3</f>
        <v>515460.31999999995</v>
      </c>
    </row>
    <row r="4" spans="1:11" s="215" customFormat="1" x14ac:dyDescent="0.3">
      <c r="B4" s="236" t="s">
        <v>185</v>
      </c>
      <c r="C4" s="241">
        <f>SUM(C2:C3)</f>
        <v>714257.1</v>
      </c>
      <c r="D4" s="241">
        <f t="shared" ref="D4" si="0">SUM(D2:D3)</f>
        <v>47500</v>
      </c>
      <c r="E4" s="241">
        <f>SUM(E2:E3)</f>
        <v>666757.1</v>
      </c>
    </row>
    <row r="5" spans="1:11" s="215" customFormat="1" x14ac:dyDescent="0.3">
      <c r="C5" s="234"/>
      <c r="D5" s="234"/>
      <c r="E5" s="239"/>
    </row>
    <row r="6" spans="1:11" s="215" customFormat="1" x14ac:dyDescent="0.3">
      <c r="C6" s="169"/>
      <c r="D6" s="169"/>
      <c r="E6" s="239" t="s">
        <v>200</v>
      </c>
    </row>
    <row r="7" spans="1:11" s="4" customFormat="1" ht="12" x14ac:dyDescent="0.3">
      <c r="A7" s="162"/>
      <c r="B7" s="207" t="s">
        <v>178</v>
      </c>
      <c r="D7" s="193"/>
      <c r="E7" s="242">
        <v>151621.38903225804</v>
      </c>
      <c r="I7" s="6"/>
      <c r="J7" s="6"/>
      <c r="K7" s="6"/>
    </row>
    <row r="8" spans="1:11" s="4" customFormat="1" ht="12" x14ac:dyDescent="0.3">
      <c r="A8" s="162"/>
      <c r="B8" s="207" t="s">
        <v>206</v>
      </c>
      <c r="E8" s="243">
        <v>10613.497232258063</v>
      </c>
      <c r="I8" s="6"/>
      <c r="J8" s="6"/>
      <c r="K8" s="6"/>
    </row>
    <row r="9" spans="1:11" s="4" customFormat="1" ht="12" x14ac:dyDescent="0.3">
      <c r="A9" s="162"/>
      <c r="B9" s="207" t="s">
        <v>207</v>
      </c>
      <c r="E9" s="242">
        <f>E7+E8</f>
        <v>162234.8862645161</v>
      </c>
      <c r="I9" s="6"/>
      <c r="J9" s="6"/>
      <c r="K9" s="6"/>
    </row>
    <row r="10" spans="1:11" s="4" customFormat="1" ht="36" x14ac:dyDescent="0.3">
      <c r="A10" s="162"/>
      <c r="B10" s="207" t="s">
        <v>187</v>
      </c>
      <c r="E10" s="249">
        <v>10938.1</v>
      </c>
      <c r="G10" s="267" t="s">
        <v>220</v>
      </c>
      <c r="I10" s="6"/>
      <c r="J10" s="6"/>
      <c r="K10" s="6"/>
    </row>
    <row r="11" spans="1:11" s="4" customFormat="1" ht="12" x14ac:dyDescent="0.3">
      <c r="A11" s="162"/>
      <c r="B11" s="207"/>
      <c r="E11" s="242">
        <f>E9-E10</f>
        <v>151296.78626451609</v>
      </c>
      <c r="I11" s="6"/>
      <c r="J11" s="6"/>
      <c r="K11" s="6"/>
    </row>
    <row r="12" spans="1:11" s="4" customFormat="1" ht="12" x14ac:dyDescent="0.3">
      <c r="A12" s="162"/>
      <c r="B12" s="97"/>
      <c r="E12" s="242"/>
      <c r="G12" s="225"/>
      <c r="H12" s="226"/>
      <c r="I12" s="227"/>
      <c r="J12" s="227"/>
      <c r="K12" s="227"/>
    </row>
    <row r="13" spans="1:11" s="4" customFormat="1" ht="12" x14ac:dyDescent="0.3">
      <c r="A13" s="162"/>
      <c r="B13" s="209" t="s">
        <v>188</v>
      </c>
      <c r="D13" s="193"/>
      <c r="E13" s="242">
        <v>516742.54000000004</v>
      </c>
      <c r="G13" s="227"/>
      <c r="H13" s="227"/>
      <c r="I13" s="227"/>
      <c r="J13" s="210"/>
      <c r="K13" s="227"/>
    </row>
    <row r="14" spans="1:11" s="4" customFormat="1" ht="12" x14ac:dyDescent="0.3">
      <c r="A14" s="162"/>
      <c r="B14" s="209" t="s">
        <v>208</v>
      </c>
      <c r="E14" s="243">
        <v>36171.977800000008</v>
      </c>
      <c r="G14" s="6"/>
      <c r="H14" s="6"/>
      <c r="I14" s="6"/>
      <c r="J14" s="210"/>
      <c r="K14" s="6"/>
    </row>
    <row r="15" spans="1:11" s="4" customFormat="1" ht="12" x14ac:dyDescent="0.3">
      <c r="A15" s="162"/>
      <c r="B15" s="209" t="s">
        <v>185</v>
      </c>
      <c r="E15" s="242">
        <f>E13+E14</f>
        <v>552914.51780000003</v>
      </c>
      <c r="G15" s="6"/>
      <c r="H15" s="6"/>
      <c r="I15" s="6"/>
      <c r="J15" s="210"/>
      <c r="K15" s="6"/>
    </row>
    <row r="16" spans="1:11" s="4" customFormat="1" ht="12" x14ac:dyDescent="0.3">
      <c r="A16" s="162"/>
      <c r="B16" s="209" t="s">
        <v>189</v>
      </c>
      <c r="E16" s="243">
        <v>37500</v>
      </c>
      <c r="I16" s="6"/>
      <c r="J16" s="6"/>
      <c r="K16" s="6"/>
    </row>
    <row r="17" spans="1:11" s="4" customFormat="1" ht="12" x14ac:dyDescent="0.3">
      <c r="A17" s="162"/>
      <c r="B17" s="209"/>
      <c r="E17" s="242">
        <f>E15-E16</f>
        <v>515414.51780000003</v>
      </c>
      <c r="I17" s="6"/>
      <c r="J17" s="6"/>
      <c r="K17" s="6"/>
    </row>
    <row r="18" spans="1:11" s="4" customFormat="1" ht="12" x14ac:dyDescent="0.3">
      <c r="A18" s="162"/>
      <c r="B18" s="97"/>
      <c r="E18" s="242"/>
      <c r="I18" s="6"/>
      <c r="J18" s="6"/>
      <c r="K18" s="6"/>
    </row>
    <row r="19" spans="1:11" s="4" customFormat="1" ht="12" x14ac:dyDescent="0.3">
      <c r="A19" s="162"/>
      <c r="B19" s="97"/>
      <c r="E19" s="242"/>
      <c r="I19" s="6"/>
      <c r="J19" s="6"/>
      <c r="K19" s="6"/>
    </row>
    <row r="20" spans="1:11" s="4" customFormat="1" ht="12" x14ac:dyDescent="0.3">
      <c r="A20" s="162"/>
      <c r="B20" s="248" t="s">
        <v>205</v>
      </c>
      <c r="E20" s="244">
        <f>E11+E17</f>
        <v>666711.30406451609</v>
      </c>
      <c r="G20" s="193"/>
    </row>
    <row r="21" spans="1:11" s="4" customFormat="1" ht="12" x14ac:dyDescent="0.3">
      <c r="A21" s="162"/>
      <c r="B21" s="97"/>
      <c r="E21" s="242"/>
    </row>
    <row r="22" spans="1:11" s="4" customFormat="1" ht="12" x14ac:dyDescent="0.3">
      <c r="A22" s="162"/>
      <c r="B22" s="237" t="s">
        <v>190</v>
      </c>
      <c r="E22" s="244"/>
      <c r="I22" s="6"/>
      <c r="J22" s="6"/>
      <c r="K22" s="6"/>
    </row>
    <row r="23" spans="1:11" s="4" customFormat="1" ht="12" x14ac:dyDescent="0.3">
      <c r="A23" s="162"/>
      <c r="B23" s="213" t="s">
        <v>191</v>
      </c>
      <c r="E23" s="244">
        <v>133351</v>
      </c>
      <c r="F23" s="193"/>
      <c r="G23" s="193"/>
      <c r="I23" s="6"/>
      <c r="J23" s="6"/>
      <c r="K23" s="6"/>
    </row>
    <row r="24" spans="1:11" s="4" customFormat="1" ht="12" x14ac:dyDescent="0.3">
      <c r="A24" s="162"/>
      <c r="B24" s="213" t="s">
        <v>192</v>
      </c>
      <c r="E24" s="245">
        <v>433392</v>
      </c>
      <c r="F24" s="193"/>
      <c r="G24" s="193"/>
      <c r="I24" s="6"/>
      <c r="J24" s="6"/>
      <c r="K24" s="6"/>
    </row>
    <row r="25" spans="1:11" s="4" customFormat="1" ht="12" x14ac:dyDescent="0.3">
      <c r="A25" s="162"/>
      <c r="B25" s="97"/>
      <c r="E25" s="246">
        <f>E23+E24</f>
        <v>566743</v>
      </c>
      <c r="F25" s="193"/>
      <c r="G25" s="193"/>
      <c r="I25" s="6"/>
      <c r="J25" s="6"/>
      <c r="K25" s="6"/>
    </row>
    <row r="26" spans="1:11" s="4" customFormat="1" ht="12" x14ac:dyDescent="0.3">
      <c r="A26" s="162"/>
      <c r="B26" s="97"/>
      <c r="E26" s="242"/>
      <c r="I26" s="6"/>
      <c r="J26" s="6"/>
      <c r="K26" s="6"/>
    </row>
    <row r="27" spans="1:11" s="4" customFormat="1" ht="12" x14ac:dyDescent="0.3">
      <c r="A27" s="162"/>
      <c r="B27" s="238" t="s">
        <v>193</v>
      </c>
      <c r="E27" s="247">
        <f>E20-E25</f>
        <v>99968.304064516095</v>
      </c>
      <c r="F27" s="212"/>
      <c r="I27" s="6"/>
      <c r="J27" s="6"/>
      <c r="K27" s="6"/>
    </row>
    <row r="28" spans="1:11" s="4" customFormat="1" ht="12" x14ac:dyDescent="0.3">
      <c r="A28" s="162"/>
      <c r="B28" s="97"/>
      <c r="I28" s="6"/>
      <c r="J28" s="6"/>
      <c r="K28" s="6"/>
    </row>
    <row r="29" spans="1:11" s="4" customFormat="1" ht="12" x14ac:dyDescent="0.3">
      <c r="A29" s="162"/>
      <c r="B29" s="97"/>
      <c r="I29" s="6"/>
      <c r="J29" s="6"/>
      <c r="K29" s="6"/>
    </row>
    <row r="30" spans="1:11" s="4" customFormat="1" ht="12" x14ac:dyDescent="0.3">
      <c r="A30" s="162"/>
      <c r="B30" s="97"/>
      <c r="I30" s="6"/>
      <c r="J30" s="6"/>
      <c r="K30" s="6"/>
    </row>
    <row r="31" spans="1:11" s="4" customFormat="1" ht="12" x14ac:dyDescent="0.3">
      <c r="A31" s="162"/>
      <c r="B31" s="97"/>
      <c r="I31" s="6"/>
      <c r="J31" s="6"/>
      <c r="K31" s="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11F2B110727645BA02DBA2969F8514" ma:contentTypeVersion="12" ma:contentTypeDescription="Create a new document." ma:contentTypeScope="" ma:versionID="e08c0b712fc4b9e86bcb3cda9789c20b">
  <xsd:schema xmlns:xsd="http://www.w3.org/2001/XMLSchema" xmlns:xs="http://www.w3.org/2001/XMLSchema" xmlns:p="http://schemas.microsoft.com/office/2006/metadata/properties" xmlns:ns2="eb8f6ad6-6325-4f7d-93c9-1379b67f9e60" xmlns:ns3="d382b6d5-c06d-40a5-8aaa-6ade7a629895" targetNamespace="http://schemas.microsoft.com/office/2006/metadata/properties" ma:root="true" ma:fieldsID="f59bc5f66c67f1e44995a64c30846cf4" ns2:_="" ns3:_="">
    <xsd:import namespace="eb8f6ad6-6325-4f7d-93c9-1379b67f9e60"/>
    <xsd:import namespace="d382b6d5-c06d-40a5-8aaa-6ade7a6298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f6ad6-6325-4f7d-93c9-1379b67f9e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82b6d5-c06d-40a5-8aaa-6ade7a6298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8AE771-CD53-4AFD-BE33-CDCD0638B5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99CEC-2778-4C3C-96F2-96F8B3A91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8f6ad6-6325-4f7d-93c9-1379b67f9e60"/>
    <ds:schemaRef ds:uri="d382b6d5-c06d-40a5-8aaa-6ade7a629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F9217D-FE93-4BDB-8144-91B14210B1C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Report 2019-2021</vt:lpstr>
      <vt:lpstr>Overview &amp; Balance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Bedi-Thomas</dc:creator>
  <cp:lastModifiedBy>I Thomas</cp:lastModifiedBy>
  <cp:lastPrinted>2021-09-08T12:38:58Z</cp:lastPrinted>
  <dcterms:created xsi:type="dcterms:W3CDTF">2020-12-16T10:05:31Z</dcterms:created>
  <dcterms:modified xsi:type="dcterms:W3CDTF">2021-10-05T16:17:27Z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0x0101004A11F2B110727645BA02DBA2969F8514</vt:lpwstr>
  </property>
</Properties>
</file>