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25"/>
  <workbookPr/>
  <mc:AlternateContent xmlns:mc="http://schemas.openxmlformats.org/markup-compatibility/2006">
    <mc:Choice Requires="x15">
      <x15ac:absPath xmlns:x15ac="http://schemas.microsoft.com/office/spreadsheetml/2010/11/ac" url="https://diplomatiebel-my.sharepoint.com/personal/jean-jacques_dohogne_diplobel_fed_be/Documents/DATA/My Documents/0 MD8/02 KLIMAATFINANCIERING/BE_PROJECTEN 2022/BURKINA/November 2022/"/>
    </mc:Choice>
  </mc:AlternateContent>
  <xr:revisionPtr revIDLastSave="31" documentId="13_ncr:1_{10726867-8195-8140-842D-495417C97A1B}" xr6:coauthVersionLast="47" xr6:coauthVersionMax="47" xr10:uidLastSave="{A16A4CE9-6BC9-4859-8A50-AEC99C43B2D9}"/>
  <bookViews>
    <workbookView xWindow="-98" yWindow="-98" windowWidth="20715" windowHeight="13276" xr2:uid="{00000000-000D-0000-FFFF-FFFF00000000}"/>
  </bookViews>
  <sheets>
    <sheet name="OSP Review 26 October 2022" sheetId="2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0" i="29" l="1"/>
  <c r="F112" i="29"/>
  <c r="F110" i="29"/>
  <c r="G107" i="29"/>
  <c r="G102" i="29"/>
  <c r="G96" i="29"/>
  <c r="G88" i="29"/>
  <c r="G79" i="29"/>
  <c r="G63" i="29"/>
  <c r="G55" i="29"/>
  <c r="G36" i="29"/>
  <c r="G34" i="29"/>
  <c r="G35" i="29"/>
  <c r="F34" i="29"/>
  <c r="F33" i="29"/>
  <c r="G12" i="29"/>
  <c r="G109" i="29"/>
  <c r="G108" i="29"/>
  <c r="G106" i="29"/>
  <c r="G105" i="29"/>
  <c r="G104" i="29"/>
  <c r="G103" i="29"/>
  <c r="G101" i="29"/>
  <c r="G100" i="29"/>
  <c r="G99" i="29"/>
  <c r="G98" i="29"/>
  <c r="G97" i="29"/>
  <c r="G95" i="29"/>
  <c r="G94" i="29"/>
  <c r="G93" i="29"/>
  <c r="G92" i="29"/>
  <c r="G91" i="29"/>
  <c r="G90" i="29"/>
  <c r="G89" i="29"/>
  <c r="G87" i="29"/>
  <c r="G86" i="29"/>
  <c r="G85" i="29"/>
  <c r="G84" i="29"/>
  <c r="G83" i="29"/>
  <c r="G82" i="29"/>
  <c r="G81" i="29"/>
  <c r="G80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2" i="29"/>
  <c r="G61" i="29"/>
  <c r="G60" i="29"/>
  <c r="G59" i="29"/>
  <c r="G58" i="29"/>
  <c r="G57" i="29"/>
  <c r="G56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3" i="29"/>
  <c r="G16" i="29" s="1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5" i="29"/>
  <c r="G14" i="29"/>
  <c r="G13" i="29"/>
  <c r="G111" i="29" l="1"/>
  <c r="G112" i="29" s="1"/>
  <c r="G11" i="29"/>
  <c r="N110" i="29" l="1"/>
  <c r="F109" i="29"/>
  <c r="M109" i="29" s="1"/>
  <c r="N109" i="29" s="1"/>
  <c r="N107" i="29"/>
  <c r="P106" i="29"/>
  <c r="M106" i="29"/>
  <c r="N106" i="29" s="1"/>
  <c r="F106" i="29"/>
  <c r="F104" i="29"/>
  <c r="M104" i="29" s="1"/>
  <c r="N104" i="29" s="1"/>
  <c r="F103" i="29"/>
  <c r="M103" i="29" s="1"/>
  <c r="N103" i="29" s="1"/>
  <c r="N102" i="29"/>
  <c r="F101" i="29"/>
  <c r="M101" i="29" s="1"/>
  <c r="N101" i="29" s="1"/>
  <c r="F100" i="29"/>
  <c r="M100" i="29" s="1"/>
  <c r="N100" i="29" s="1"/>
  <c r="F99" i="29"/>
  <c r="M99" i="29" s="1"/>
  <c r="N99" i="29" s="1"/>
  <c r="F98" i="29"/>
  <c r="M98" i="29" s="1"/>
  <c r="N98" i="29" s="1"/>
  <c r="F97" i="29"/>
  <c r="M97" i="29" s="1"/>
  <c r="N97" i="29" s="1"/>
  <c r="N96" i="29"/>
  <c r="D95" i="29"/>
  <c r="F95" i="29" s="1"/>
  <c r="F94" i="29"/>
  <c r="M94" i="29" s="1"/>
  <c r="N94" i="29" s="1"/>
  <c r="F93" i="29"/>
  <c r="M93" i="29" s="1"/>
  <c r="N93" i="29" s="1"/>
  <c r="F92" i="29"/>
  <c r="M92" i="29" s="1"/>
  <c r="N92" i="29" s="1"/>
  <c r="M91" i="29"/>
  <c r="N91" i="29" s="1"/>
  <c r="F91" i="29"/>
  <c r="F90" i="29"/>
  <c r="M90" i="29" s="1"/>
  <c r="N90" i="29" s="1"/>
  <c r="F89" i="29"/>
  <c r="M89" i="29" s="1"/>
  <c r="N89" i="29" s="1"/>
  <c r="M88" i="29"/>
  <c r="N88" i="29" s="1"/>
  <c r="D87" i="29"/>
  <c r="F87" i="29" s="1"/>
  <c r="M87" i="29" s="1"/>
  <c r="N87" i="29" s="1"/>
  <c r="F86" i="29"/>
  <c r="K86" i="29" s="1"/>
  <c r="N86" i="29" s="1"/>
  <c r="F85" i="29"/>
  <c r="K85" i="29" s="1"/>
  <c r="N85" i="29" s="1"/>
  <c r="F84" i="29"/>
  <c r="K84" i="29" s="1"/>
  <c r="N84" i="29" s="1"/>
  <c r="F83" i="29"/>
  <c r="K83" i="29" s="1"/>
  <c r="N83" i="29" s="1"/>
  <c r="F82" i="29"/>
  <c r="K82" i="29" s="1"/>
  <c r="N82" i="29" s="1"/>
  <c r="F81" i="29"/>
  <c r="K81" i="29" s="1"/>
  <c r="N81" i="29" s="1"/>
  <c r="F80" i="29"/>
  <c r="N79" i="29"/>
  <c r="F78" i="29"/>
  <c r="M78" i="29" s="1"/>
  <c r="N78" i="29" s="1"/>
  <c r="F77" i="29"/>
  <c r="I77" i="29" s="1"/>
  <c r="F76" i="29"/>
  <c r="I76" i="29" s="1"/>
  <c r="N76" i="29" s="1"/>
  <c r="F75" i="29"/>
  <c r="I75" i="29" s="1"/>
  <c r="N75" i="29" s="1"/>
  <c r="F74" i="29"/>
  <c r="K74" i="29" s="1"/>
  <c r="N74" i="29" s="1"/>
  <c r="D73" i="29"/>
  <c r="F73" i="29" s="1"/>
  <c r="L73" i="29" s="1"/>
  <c r="N73" i="29" s="1"/>
  <c r="D72" i="29"/>
  <c r="F72" i="29" s="1"/>
  <c r="L72" i="29" s="1"/>
  <c r="N72" i="29" s="1"/>
  <c r="D71" i="29"/>
  <c r="F71" i="29" s="1"/>
  <c r="K71" i="29" s="1"/>
  <c r="N71" i="29" s="1"/>
  <c r="F70" i="29"/>
  <c r="K70" i="29" s="1"/>
  <c r="N70" i="29" s="1"/>
  <c r="F69" i="29"/>
  <c r="K69" i="29" s="1"/>
  <c r="N69" i="29" s="1"/>
  <c r="F68" i="29"/>
  <c r="I68" i="29" s="1"/>
  <c r="N68" i="29" s="1"/>
  <c r="F67" i="29"/>
  <c r="I67" i="29" s="1"/>
  <c r="N67" i="29" s="1"/>
  <c r="F66" i="29"/>
  <c r="J66" i="29" s="1"/>
  <c r="N66" i="29" s="1"/>
  <c r="F65" i="29"/>
  <c r="J65" i="29" s="1"/>
  <c r="N65" i="29" s="1"/>
  <c r="F64" i="29"/>
  <c r="N63" i="29"/>
  <c r="D62" i="29"/>
  <c r="F62" i="29" s="1"/>
  <c r="F61" i="29"/>
  <c r="I61" i="29" s="1"/>
  <c r="F60" i="29"/>
  <c r="I60" i="29" s="1"/>
  <c r="F59" i="29"/>
  <c r="I59" i="29" s="1"/>
  <c r="F58" i="29"/>
  <c r="I58" i="29" s="1"/>
  <c r="F57" i="29"/>
  <c r="I57" i="29" s="1"/>
  <c r="F56" i="29"/>
  <c r="I56" i="29" s="1"/>
  <c r="N55" i="29"/>
  <c r="F54" i="29"/>
  <c r="M54" i="29" s="1"/>
  <c r="N54" i="29" s="1"/>
  <c r="D53" i="29"/>
  <c r="F53" i="29" s="1"/>
  <c r="M53" i="29" s="1"/>
  <c r="N53" i="29" s="1"/>
  <c r="D51" i="29"/>
  <c r="F51" i="29" s="1"/>
  <c r="I51" i="29" s="1"/>
  <c r="D50" i="29"/>
  <c r="F50" i="29" s="1"/>
  <c r="I50" i="29" s="1"/>
  <c r="F49" i="29"/>
  <c r="K49" i="29" s="1"/>
  <c r="N49" i="29" s="1"/>
  <c r="F48" i="29"/>
  <c r="L48" i="29" s="1"/>
  <c r="N48" i="29" s="1"/>
  <c r="F47" i="29"/>
  <c r="L47" i="29" s="1"/>
  <c r="F46" i="29"/>
  <c r="K46" i="29" s="1"/>
  <c r="N46" i="29" s="1"/>
  <c r="F45" i="29"/>
  <c r="K45" i="29" s="1"/>
  <c r="N45" i="29" s="1"/>
  <c r="F44" i="29"/>
  <c r="K44" i="29" s="1"/>
  <c r="N44" i="29" s="1"/>
  <c r="F43" i="29"/>
  <c r="K43" i="29" s="1"/>
  <c r="N43" i="29" s="1"/>
  <c r="F42" i="29"/>
  <c r="K42" i="29" s="1"/>
  <c r="N42" i="29" s="1"/>
  <c r="F41" i="29"/>
  <c r="K41" i="29" s="1"/>
  <c r="E40" i="29"/>
  <c r="F40" i="29" s="1"/>
  <c r="J40" i="29" s="1"/>
  <c r="N40" i="29" s="1"/>
  <c r="F39" i="29"/>
  <c r="J39" i="29" s="1"/>
  <c r="F38" i="29"/>
  <c r="I38" i="29" s="1"/>
  <c r="N38" i="29" s="1"/>
  <c r="F37" i="29"/>
  <c r="N36" i="29"/>
  <c r="F35" i="29"/>
  <c r="M35" i="29" s="1"/>
  <c r="N35" i="29" s="1"/>
  <c r="N34" i="29"/>
  <c r="F32" i="29"/>
  <c r="M32" i="29" s="1"/>
  <c r="N32" i="29" s="1"/>
  <c r="F31" i="29"/>
  <c r="M31" i="29" s="1"/>
  <c r="N31" i="29" s="1"/>
  <c r="F30" i="29"/>
  <c r="M30" i="29" s="1"/>
  <c r="N30" i="29" s="1"/>
  <c r="O29" i="29"/>
  <c r="F29" i="29"/>
  <c r="M29" i="29" s="1"/>
  <c r="N29" i="29" s="1"/>
  <c r="O28" i="29"/>
  <c r="F28" i="29"/>
  <c r="M28" i="29" s="1"/>
  <c r="N28" i="29" s="1"/>
  <c r="O27" i="29"/>
  <c r="F27" i="29"/>
  <c r="M27" i="29" s="1"/>
  <c r="N27" i="29" s="1"/>
  <c r="O26" i="29"/>
  <c r="F26" i="29"/>
  <c r="M26" i="29" s="1"/>
  <c r="N26" i="29" s="1"/>
  <c r="O25" i="29"/>
  <c r="F25" i="29"/>
  <c r="M25" i="29" s="1"/>
  <c r="N25" i="29" s="1"/>
  <c r="O24" i="29"/>
  <c r="F24" i="29"/>
  <c r="M24" i="29" s="1"/>
  <c r="N24" i="29" s="1"/>
  <c r="O23" i="29"/>
  <c r="F23" i="29"/>
  <c r="M23" i="29" s="1"/>
  <c r="N23" i="29" s="1"/>
  <c r="D22" i="29"/>
  <c r="O33" i="29" s="1"/>
  <c r="D33" i="29" s="1"/>
  <c r="O21" i="29"/>
  <c r="F21" i="29"/>
  <c r="M21" i="29" s="1"/>
  <c r="N21" i="29" s="1"/>
  <c r="O20" i="29"/>
  <c r="F20" i="29"/>
  <c r="M20" i="29" s="1"/>
  <c r="N20" i="29" s="1"/>
  <c r="O19" i="29"/>
  <c r="F19" i="29"/>
  <c r="M19" i="29" s="1"/>
  <c r="N19" i="29" s="1"/>
  <c r="O18" i="29"/>
  <c r="F18" i="29"/>
  <c r="M18" i="29" s="1"/>
  <c r="N18" i="29" s="1"/>
  <c r="P17" i="29"/>
  <c r="O17" i="29"/>
  <c r="F17" i="29"/>
  <c r="M17" i="29" s="1"/>
  <c r="N17" i="29" s="1"/>
  <c r="N16" i="29"/>
  <c r="D15" i="29"/>
  <c r="F15" i="29" s="1"/>
  <c r="F14" i="29"/>
  <c r="M14" i="29" s="1"/>
  <c r="N14" i="29" s="1"/>
  <c r="F13" i="29"/>
  <c r="M13" i="29" s="1"/>
  <c r="N13" i="29" s="1"/>
  <c r="N12" i="29"/>
  <c r="N11" i="29"/>
  <c r="N10" i="29"/>
  <c r="F10" i="29"/>
  <c r="N9" i="29"/>
  <c r="F9" i="29"/>
  <c r="G9" i="29" s="1"/>
  <c r="N8" i="29"/>
  <c r="M7" i="29"/>
  <c r="N6" i="29"/>
  <c r="F6" i="29"/>
  <c r="F88" i="29" l="1"/>
  <c r="P109" i="29"/>
  <c r="D52" i="29"/>
  <c r="F52" i="29" s="1"/>
  <c r="M52" i="29" s="1"/>
  <c r="N52" i="29" s="1"/>
  <c r="N41" i="29"/>
  <c r="L51" i="29"/>
  <c r="K51" i="29"/>
  <c r="J51" i="29"/>
  <c r="L57" i="29"/>
  <c r="K57" i="29"/>
  <c r="J57" i="29"/>
  <c r="F63" i="29"/>
  <c r="N47" i="29"/>
  <c r="L59" i="29"/>
  <c r="K59" i="29"/>
  <c r="J59" i="29"/>
  <c r="N59" i="29" s="1"/>
  <c r="D105" i="29"/>
  <c r="M33" i="29"/>
  <c r="N33" i="29" s="1"/>
  <c r="J77" i="29"/>
  <c r="L77" i="29"/>
  <c r="K77" i="29"/>
  <c r="M15" i="29"/>
  <c r="N15" i="29" s="1"/>
  <c r="F12" i="29"/>
  <c r="L58" i="29"/>
  <c r="K58" i="29"/>
  <c r="J58" i="29"/>
  <c r="J60" i="29"/>
  <c r="L60" i="29"/>
  <c r="K60" i="29"/>
  <c r="K61" i="29"/>
  <c r="J61" i="29"/>
  <c r="L61" i="29"/>
  <c r="N39" i="29"/>
  <c r="K50" i="29"/>
  <c r="J50" i="29"/>
  <c r="L50" i="29"/>
  <c r="K56" i="29"/>
  <c r="L56" i="29"/>
  <c r="J56" i="29"/>
  <c r="M62" i="29"/>
  <c r="N62" i="29" s="1"/>
  <c r="F55" i="29"/>
  <c r="F79" i="29"/>
  <c r="M95" i="29"/>
  <c r="N95" i="29" s="1"/>
  <c r="O22" i="29"/>
  <c r="I37" i="29"/>
  <c r="I64" i="29"/>
  <c r="I80" i="29"/>
  <c r="N80" i="29" s="1"/>
  <c r="N7" i="29"/>
  <c r="G6" i="29"/>
  <c r="F96" i="29"/>
  <c r="F22" i="29"/>
  <c r="M22" i="29" s="1"/>
  <c r="N22" i="29" s="1"/>
  <c r="N51" i="29" l="1"/>
  <c r="N60" i="29"/>
  <c r="F36" i="29"/>
  <c r="N50" i="29"/>
  <c r="N58" i="29"/>
  <c r="N57" i="29"/>
  <c r="N61" i="29"/>
  <c r="N77" i="29"/>
  <c r="F16" i="29"/>
  <c r="N56" i="29"/>
  <c r="F105" i="29"/>
  <c r="D108" i="29"/>
  <c r="F108" i="29" s="1"/>
  <c r="L64" i="29"/>
  <c r="L112" i="29" s="1"/>
  <c r="K64" i="29"/>
  <c r="K112" i="29" s="1"/>
  <c r="J64" i="29"/>
  <c r="J112" i="29" s="1"/>
  <c r="N37" i="29"/>
  <c r="I112" i="29"/>
  <c r="N64" i="29" l="1"/>
  <c r="P105" i="29"/>
  <c r="M105" i="29"/>
  <c r="F102" i="29"/>
  <c r="F11" i="29"/>
  <c r="M108" i="29"/>
  <c r="N108" i="29" s="1"/>
  <c r="P108" i="29"/>
  <c r="F107" i="29"/>
  <c r="N105" i="29" l="1"/>
  <c r="F111" i="29" l="1"/>
  <c r="M111" i="29" l="1"/>
  <c r="N111" i="29"/>
  <c r="N112" i="29" s="1"/>
  <c r="M112" i="29"/>
  <c r="C121" i="29" l="1"/>
  <c r="C122" i="29" l="1"/>
  <c r="C120" i="29" s="1"/>
  <c r="C119" i="29" s="1"/>
</calcChain>
</file>

<file path=xl/sharedStrings.xml><?xml version="1.0" encoding="utf-8"?>
<sst xmlns="http://schemas.openxmlformats.org/spreadsheetml/2006/main" count="202" uniqueCount="140">
  <si>
    <t>BUDGET GLOBAL</t>
  </si>
  <si>
    <t>BUDGET PAR EFFETS</t>
  </si>
  <si>
    <t>Account</t>
  </si>
  <si>
    <t>Item</t>
  </si>
  <si>
    <t>Unit</t>
  </si>
  <si>
    <t>Quantity</t>
  </si>
  <si>
    <t>Unit Cost</t>
  </si>
  <si>
    <t>Total Cost</t>
  </si>
  <si>
    <t>Effet 1</t>
  </si>
  <si>
    <t>Effet 2</t>
  </si>
  <si>
    <t>Effet 3</t>
  </si>
  <si>
    <t>Effet 4</t>
  </si>
  <si>
    <t>Activités transversales</t>
  </si>
  <si>
    <t>TOTAL</t>
  </si>
  <si>
    <t>(USD)</t>
  </si>
  <si>
    <t>(EURO)</t>
  </si>
  <si>
    <t>Professional Staff - Salaries</t>
  </si>
  <si>
    <t>General Service- Salaries</t>
  </si>
  <si>
    <t xml:space="preserve">Consultants  </t>
  </si>
  <si>
    <t>International Consultants</t>
  </si>
  <si>
    <t>Expert  intern Genie Rural</t>
  </si>
  <si>
    <t>mois</t>
  </si>
  <si>
    <t>Expert intern changement climatique</t>
  </si>
  <si>
    <t>International Consultants  - Human Resource Services</t>
  </si>
  <si>
    <t xml:space="preserve">mois </t>
  </si>
  <si>
    <t>National Consultants</t>
  </si>
  <si>
    <t>Coordonateurs de Projet</t>
  </si>
  <si>
    <t>Expert génie rural</t>
  </si>
  <si>
    <t>Expert Prévention et gestion des conflits</t>
  </si>
  <si>
    <t xml:space="preserve">Expert M&amp;E </t>
  </si>
  <si>
    <t>Expert IT</t>
  </si>
  <si>
    <t xml:space="preserve">Chargés du suivi des activités dans les Régions du Nord, du Centre Nord et du Sahel </t>
  </si>
  <si>
    <t>Expert en renforcement des capacités (Expert CEAP)</t>
  </si>
  <si>
    <t>Expert zootechnicien</t>
  </si>
  <si>
    <t>Expert agronome</t>
  </si>
  <si>
    <t>Assistante administative</t>
  </si>
  <si>
    <t xml:space="preserve">2 Chauffeurs </t>
  </si>
  <si>
    <t xml:space="preserve">Procurement  Officer </t>
  </si>
  <si>
    <t>Operations Officer</t>
  </si>
  <si>
    <t>Consultant Etude diagnostic des facteurs déclencheurs de conflits et cartographie des zones de paturage</t>
  </si>
  <si>
    <t>Jour</t>
  </si>
  <si>
    <t>Consultant chargé de la mise en place et fonctionnement/réseautage des CEAP et CD</t>
  </si>
  <si>
    <t>Consultant Etude analytique de la vulnérabilité au changement climatique des Régions-cibles du projet</t>
  </si>
  <si>
    <t>National Consultants - Human Resource Services</t>
  </si>
  <si>
    <t>Locally Recruited Labour</t>
  </si>
  <si>
    <t>Locally Contracted Labour</t>
  </si>
  <si>
    <t>forfait</t>
  </si>
  <si>
    <t xml:space="preserve">Contracts </t>
  </si>
  <si>
    <t>Contrat étude base line et end line</t>
  </si>
  <si>
    <t>Contract</t>
  </si>
  <si>
    <t>Contrat évaluation à mis parcours du projet</t>
  </si>
  <si>
    <t>Contrat étude pour Développer et implémenter un Plan de Renforcement des Capacités d’adaptation au changement climatique</t>
  </si>
  <si>
    <t>Contract pour mettre en place trois fermes agroécologiques comme centres de formation pratique des acteurs</t>
  </si>
  <si>
    <t>Contrat pour la réalisation des études techniques de base dans chaque région pour la réhabilitation, la construction et l’aménagement des boulis</t>
  </si>
  <si>
    <t>Contrat pour la réalisation de 15 boulis de 30.000 m3 (y compris aménagements annexes) et de 15 bassins piscicoles de 60 m3 ;</t>
  </si>
  <si>
    <t>Contrat pour la réhabilitation de 5 boulis en situation de dégradation avancée (y compris 5 bassins piscicoles de 60 m3)</t>
  </si>
  <si>
    <t>Contrat avec un bureau d'étude pour assurer le suivi-contrôle de l’exécution des travaux de réalisation et de réhabilitation des boulis et des bassins piscicoles </t>
  </si>
  <si>
    <t>Contrat pour la construction/réhabilitation des forages équipés de pompe à motricité humaine à usage domestique.</t>
  </si>
  <si>
    <t xml:space="preserve">Contrat pour la mise en place des aménagements de gestion conservatoire des eaux et des sols (dispositifs CES) à l’échelle du bassin versant par les usagers (au moins 200 ha) </t>
  </si>
  <si>
    <t>Contrat  d’aménagement paysagique (y compris le suivi-contrôle)</t>
  </si>
  <si>
    <t>Contrat pour la réalisation de bandes enherbées</t>
  </si>
  <si>
    <t>Contrat (Bureau d’étude, université, recherche ou ONG) pour le renforcement des capacités en matière de systèmes alimentaires durables et résilient</t>
  </si>
  <si>
    <t xml:space="preserve">LoA avec PT Agriculture et Ressources Animales </t>
  </si>
  <si>
    <t>PA</t>
  </si>
  <si>
    <t>LoA avec PT Environnement et Eau</t>
  </si>
  <si>
    <t xml:space="preserve"> Contracts - Procurement Servcies  </t>
  </si>
  <si>
    <t xml:space="preserve"> Contracts - Procurement Servcies  (QA CSAP) </t>
  </si>
  <si>
    <t>Travel</t>
  </si>
  <si>
    <t xml:space="preserve"> Duty Travel</t>
  </si>
  <si>
    <t xml:space="preserve"> Travel - Consultants - International</t>
  </si>
  <si>
    <t>Travel - Consultants - National</t>
  </si>
  <si>
    <t>Travel - Training</t>
  </si>
  <si>
    <t>Travel - Consultants - National Project Personnel</t>
  </si>
  <si>
    <t>Travel - Non Staff</t>
  </si>
  <si>
    <t>Travel - Procurement Services</t>
  </si>
  <si>
    <t xml:space="preserve">Training </t>
  </si>
  <si>
    <t>Atelier de lancement du projet</t>
  </si>
  <si>
    <t>unité</t>
  </si>
  <si>
    <t>Atelier de restitution des études sur la situation de référence des bas-fonds et des ouvrages de MRE est réalisée</t>
  </si>
  <si>
    <t>Atelier de validation étude diagnostic des facteurs déclencheurs de conflits et cartographie des zones de paturage</t>
  </si>
  <si>
    <t>Atelier de validation de l'étude sur la mise en place et fonctionnement/réseautage des CEAP et CD</t>
  </si>
  <si>
    <t>Atelier de validation de l'étude analytique de la vulnérabilité au changement climatique des Régions-cibles du projet</t>
  </si>
  <si>
    <t>Formation des producteurs à l’entretien et l’exploitation des infrastructures</t>
  </si>
  <si>
    <t>session</t>
  </si>
  <si>
    <t>Formation  à la gestion des infrastructures (20 AUE)</t>
  </si>
  <si>
    <t>Formation de 3000 bénéficiaires sur le système de production agrosylvopastorale et halieutique durable et résilient au changement climatique et sur le nouveau modèle d’exploitation agricole innovant, résilient et performant (AIRP).</t>
  </si>
  <si>
    <t>Sensibilisation des communautés bénéficiaires sur la protection de la biodiversité (y compris la faune autour des boulis)</t>
  </si>
  <si>
    <t>Formation des communautés bénéficiaires sur la protection de la biodiversité (y compris la faune autour des boulis)</t>
  </si>
  <si>
    <t>Formation des producteurs  à la production fourragère</t>
  </si>
  <si>
    <t>Formation CEAP</t>
  </si>
  <si>
    <t>village</t>
  </si>
  <si>
    <t>Formation Club DIMITRA</t>
  </si>
  <si>
    <t>Atelier de cloture du projet</t>
  </si>
  <si>
    <t xml:space="preserve">Training - Procurement Services </t>
  </si>
  <si>
    <t>PO</t>
  </si>
  <si>
    <t>Expendable Procurement</t>
  </si>
  <si>
    <t xml:space="preserve">Postes radio solaires et des téléphones portables pour Club Dimitra </t>
  </si>
  <si>
    <t>Intrants pour les fermes agroécologisque</t>
  </si>
  <si>
    <t>kits</t>
  </si>
  <si>
    <t xml:space="preserve">Kits de productions vivrière et maraichère </t>
  </si>
  <si>
    <t xml:space="preserve">Alevins </t>
  </si>
  <si>
    <t>kg</t>
  </si>
  <si>
    <t>Aliments poissons</t>
  </si>
  <si>
    <t xml:space="preserve">Kits de production sylvicole à 3000 producteurs (semences, pots, plants) </t>
  </si>
  <si>
    <t>kits (100 plants)</t>
  </si>
  <si>
    <t>Intrants production fourragère (fourniture de semences fourragères)</t>
  </si>
  <si>
    <t>Expendable - Procurement Services (PO)</t>
  </si>
  <si>
    <t>Non-Expendable Equipment</t>
  </si>
  <si>
    <t>Vehicles</t>
  </si>
  <si>
    <t>vehicles</t>
  </si>
  <si>
    <t>Ordinateurs portables</t>
  </si>
  <si>
    <t xml:space="preserve">Ordinateurs de bureau </t>
  </si>
  <si>
    <t>Imprimante multi fonction</t>
  </si>
  <si>
    <t>Vidéo projecteur</t>
  </si>
  <si>
    <t>Appareil photo</t>
  </si>
  <si>
    <t>Non-Expendable - Procurement Services (PO)</t>
  </si>
  <si>
    <t>Technical Support Services</t>
  </si>
  <si>
    <t>TSS</t>
  </si>
  <si>
    <t>SCR</t>
  </si>
  <si>
    <t>Rapport</t>
  </si>
  <si>
    <t>Evaluation</t>
  </si>
  <si>
    <t>Cost of Environmental and Social Safeguards</t>
  </si>
  <si>
    <t>General Operating Costs</t>
  </si>
  <si>
    <t>Frais de fonctionnement</t>
  </si>
  <si>
    <t>Visibilité/communication</t>
  </si>
  <si>
    <t xml:space="preserve">Security services </t>
  </si>
  <si>
    <t>General Operating Expenses - Procurement Services</t>
  </si>
  <si>
    <t>GOE Common Services- (Other Central Support Services)</t>
  </si>
  <si>
    <t xml:space="preserve">IT Services </t>
  </si>
  <si>
    <t>Financial Services</t>
  </si>
  <si>
    <t>Subtotal</t>
  </si>
  <si>
    <t>Indirect Support Costs (7%)</t>
  </si>
  <si>
    <t>Grand Total</t>
  </si>
  <si>
    <t>EUR</t>
  </si>
  <si>
    <t xml:space="preserve">Contribution de la Belgique </t>
  </si>
  <si>
    <t>includes levy</t>
  </si>
  <si>
    <t xml:space="preserve">Amount of contribution </t>
  </si>
  <si>
    <t>Amount of project budget</t>
  </si>
  <si>
    <t>Amount of 1% Levy</t>
  </si>
  <si>
    <t>Exchange rate of 15 Sept 2022 1 USD = 0.997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</si>
</sst>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-* #,##0\ _€_-;\-* #,##0\ _€_-;_-* &quot;-&quot;??\ _€_-;_-@_-"/>
    <numFmt numFmtId="167" formatCode="_-* #,##0.00\ _€_-;\-* #,##0.00\ _€_-;_-* &quot;-&quot;??\ _€_-;_-@_-"/>
    <numFmt numFmtId="168" formatCode="_-* #,##0.000_-;\-* #,##0.000_-;_-* &quot;-&quot;_-;_-@_-"/>
    <numFmt numFmtId="169" formatCode="_(* #,##0.000_);_(* \(#,##0.000\);_(* &quot;-&quot;??_);_(@_)"/>
    <numFmt numFmtId="170" formatCode="_(* #,##0.0000_);_(* \(#,##0.0000\);_(* &quot;-&quot;??_);_(@_)"/>
    <numFmt numFmtId="171" formatCode="#,##0.000000000"/>
    <numFmt numFmtId="172" formatCode="_-* #,##0.000\ _€_-;\-* #,##0.0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17365D"/>
      <name val="Calibri"/>
      <family val="2"/>
      <scheme val="minor"/>
    </font>
    <font>
      <sz val="11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165" fontId="10" fillId="1" borderId="11" xfId="1" applyNumberFormat="1" applyFont="1" applyFill="1" applyBorder="1" applyAlignment="1">
      <alignment horizontal="right" vertical="center" wrapText="1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5" fontId="10" fillId="1" borderId="1" xfId="1" applyNumberFormat="1" applyFont="1" applyFill="1" applyBorder="1" applyAlignment="1">
      <alignment horizontal="right" vertical="center" wrapText="1"/>
    </xf>
    <xf numFmtId="166" fontId="2" fillId="0" borderId="8" xfId="4" applyNumberFormat="1" applyFont="1" applyBorder="1" applyAlignment="1">
      <alignment horizontal="center" wrapText="1"/>
    </xf>
    <xf numFmtId="0" fontId="6" fillId="0" borderId="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5" fontId="10" fillId="1" borderId="6" xfId="1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168" fontId="0" fillId="0" borderId="0" xfId="3" applyNumberFormat="1" applyFont="1"/>
    <xf numFmtId="165" fontId="8" fillId="2" borderId="12" xfId="1" applyNumberFormat="1" applyFont="1" applyFill="1" applyBorder="1" applyAlignment="1">
      <alignment horizontal="center" vertical="center" wrapText="1"/>
    </xf>
    <xf numFmtId="165" fontId="8" fillId="2" borderId="13" xfId="1" applyNumberFormat="1" applyFont="1" applyFill="1" applyBorder="1" applyAlignment="1">
      <alignment horizontal="center" vertical="center" wrapText="1"/>
    </xf>
    <xf numFmtId="165" fontId="8" fillId="2" borderId="27" xfId="1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7" xfId="0" applyBorder="1"/>
    <xf numFmtId="0" fontId="0" fillId="0" borderId="16" xfId="0" applyBorder="1"/>
    <xf numFmtId="165" fontId="0" fillId="0" borderId="7" xfId="0" applyNumberFormat="1" applyBorder="1"/>
    <xf numFmtId="0" fontId="0" fillId="0" borderId="14" xfId="0" applyBorder="1"/>
    <xf numFmtId="0" fontId="0" fillId="0" borderId="8" xfId="0" applyBorder="1"/>
    <xf numFmtId="0" fontId="0" fillId="0" borderId="15" xfId="0" applyBorder="1"/>
    <xf numFmtId="165" fontId="0" fillId="0" borderId="8" xfId="0" applyNumberFormat="1" applyBorder="1"/>
    <xf numFmtId="0" fontId="0" fillId="10" borderId="0" xfId="0" applyFill="1"/>
    <xf numFmtId="165" fontId="0" fillId="0" borderId="14" xfId="0" applyNumberFormat="1" applyBorder="1"/>
    <xf numFmtId="1" fontId="0" fillId="0" borderId="8" xfId="0" applyNumberFormat="1" applyBorder="1"/>
    <xf numFmtId="1" fontId="0" fillId="0" borderId="15" xfId="0" applyNumberFormat="1" applyBorder="1"/>
    <xf numFmtId="165" fontId="0" fillId="0" borderId="15" xfId="0" applyNumberFormat="1" applyBorder="1"/>
    <xf numFmtId="1" fontId="0" fillId="0" borderId="14" xfId="0" applyNumberFormat="1" applyBorder="1"/>
    <xf numFmtId="165" fontId="0" fillId="0" borderId="0" xfId="0" applyNumberFormat="1"/>
    <xf numFmtId="0" fontId="0" fillId="0" borderId="28" xfId="0" applyBorder="1"/>
    <xf numFmtId="1" fontId="0" fillId="0" borderId="0" xfId="0" applyNumberFormat="1"/>
    <xf numFmtId="166" fontId="0" fillId="0" borderId="0" xfId="0" applyNumberFormat="1"/>
    <xf numFmtId="164" fontId="10" fillId="1" borderId="11" xfId="1" applyFont="1" applyFill="1" applyBorder="1" applyAlignment="1">
      <alignment horizontal="right" vertical="center" wrapText="1"/>
    </xf>
    <xf numFmtId="166" fontId="2" fillId="0" borderId="0" xfId="4" applyNumberFormat="1" applyFont="1" applyBorder="1" applyAlignment="1">
      <alignment horizontal="center" wrapText="1"/>
    </xf>
    <xf numFmtId="169" fontId="0" fillId="0" borderId="0" xfId="1" applyNumberFormat="1" applyFont="1"/>
    <xf numFmtId="164" fontId="2" fillId="0" borderId="12" xfId="1" applyFont="1" applyBorder="1"/>
    <xf numFmtId="164" fontId="2" fillId="0" borderId="6" xfId="1" applyFont="1" applyBorder="1"/>
    <xf numFmtId="3" fontId="8" fillId="2" borderId="10" xfId="1" applyNumberFormat="1" applyFont="1" applyFill="1" applyBorder="1" applyAlignment="1">
      <alignment horizontal="center" vertical="center" wrapText="1"/>
    </xf>
    <xf numFmtId="3" fontId="8" fillId="2" borderId="20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0" fillId="0" borderId="6" xfId="2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2" fillId="0" borderId="8" xfId="4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 wrapText="1"/>
    </xf>
    <xf numFmtId="3" fontId="2" fillId="0" borderId="0" xfId="4" applyNumberFormat="1" applyFont="1" applyBorder="1" applyAlignment="1">
      <alignment horizontal="center" vertical="center" wrapText="1"/>
    </xf>
    <xf numFmtId="3" fontId="2" fillId="0" borderId="0" xfId="1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2" fillId="5" borderId="7" xfId="2" applyNumberFormat="1" applyFont="1" applyFill="1" applyBorder="1" applyAlignment="1">
      <alignment horizontal="center" vertical="center"/>
    </xf>
    <xf numFmtId="3" fontId="2" fillId="5" borderId="0" xfId="2" applyNumberFormat="1" applyFont="1" applyFill="1" applyAlignment="1">
      <alignment horizontal="center" vertical="center"/>
    </xf>
    <xf numFmtId="3" fontId="3" fillId="5" borderId="6" xfId="2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center" vertical="center" wrapText="1"/>
    </xf>
    <xf numFmtId="3" fontId="5" fillId="5" borderId="4" xfId="1" applyNumberFormat="1" applyFont="1" applyFill="1" applyBorder="1" applyAlignment="1">
      <alignment horizontal="center" vertical="center" wrapText="1"/>
    </xf>
    <xf numFmtId="3" fontId="3" fillId="0" borderId="6" xfId="2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3" fillId="4" borderId="3" xfId="2" applyNumberFormat="1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3" fillId="4" borderId="6" xfId="2" applyNumberFormat="1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  <xf numFmtId="3" fontId="15" fillId="0" borderId="2" xfId="1" applyNumberFormat="1" applyFont="1" applyBorder="1" applyAlignment="1">
      <alignment horizontal="center" vertical="center" wrapText="1"/>
    </xf>
    <xf numFmtId="3" fontId="0" fillId="0" borderId="6" xfId="2" applyNumberFormat="1" applyFont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21" xfId="1" applyNumberFormat="1" applyFont="1" applyFill="1" applyBorder="1" applyAlignment="1">
      <alignment horizontal="center" vertical="center" wrapText="1"/>
    </xf>
    <xf numFmtId="3" fontId="14" fillId="0" borderId="3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3" fontId="3" fillId="6" borderId="6" xfId="2" applyNumberFormat="1" applyFont="1" applyFill="1" applyBorder="1" applyAlignment="1">
      <alignment horizontal="center" vertical="center"/>
    </xf>
    <xf numFmtId="3" fontId="3" fillId="0" borderId="6" xfId="2" applyNumberFormat="1" applyFont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 wrapText="1"/>
    </xf>
    <xf numFmtId="3" fontId="4" fillId="0" borderId="19" xfId="1" applyNumberFormat="1" applyFont="1" applyBorder="1" applyAlignment="1">
      <alignment horizontal="center" vertical="center" wrapText="1"/>
    </xf>
    <xf numFmtId="3" fontId="0" fillId="0" borderId="0" xfId="1" applyNumberFormat="1" applyFont="1" applyAlignment="1">
      <alignment horizontal="center" vertical="center"/>
    </xf>
    <xf numFmtId="9" fontId="2" fillId="0" borderId="8" xfId="5" applyFont="1" applyBorder="1" applyAlignment="1">
      <alignment horizontal="center" vertical="center" wrapText="1"/>
    </xf>
    <xf numFmtId="170" fontId="0" fillId="0" borderId="0" xfId="1" applyNumberFormat="1" applyFont="1" applyAlignment="1">
      <alignment horizontal="center" vertical="center"/>
    </xf>
    <xf numFmtId="171" fontId="0" fillId="0" borderId="0" xfId="3" applyNumberFormat="1" applyFont="1" applyAlignment="1">
      <alignment horizontal="center" vertical="center"/>
    </xf>
    <xf numFmtId="166" fontId="2" fillId="0" borderId="0" xfId="4" applyNumberFormat="1" applyFont="1" applyFill="1" applyBorder="1" applyAlignment="1">
      <alignment horizontal="center" wrapText="1"/>
    </xf>
    <xf numFmtId="172" fontId="2" fillId="0" borderId="0" xfId="4" applyNumberFormat="1" applyFont="1" applyFill="1" applyBorder="1" applyAlignment="1">
      <alignment horizontal="center" wrapText="1"/>
    </xf>
    <xf numFmtId="0" fontId="18" fillId="0" borderId="0" xfId="0" applyFont="1" applyAlignment="1">
      <alignment vertical="center" wrapText="1"/>
    </xf>
    <xf numFmtId="166" fontId="6" fillId="0" borderId="3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9" borderId="17" xfId="0" applyFont="1" applyFill="1" applyBorder="1" applyAlignment="1">
      <alignment horizontal="center" vertical="center"/>
    </xf>
    <xf numFmtId="0" fontId="17" fillId="9" borderId="18" xfId="0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/>
    </xf>
    <xf numFmtId="0" fontId="16" fillId="7" borderId="18" xfId="0" applyFont="1" applyFill="1" applyBorder="1" applyAlignment="1">
      <alignment horizontal="center"/>
    </xf>
    <xf numFmtId="0" fontId="16" fillId="7" borderId="1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omma [0]" xfId="3" builtinId="6"/>
    <cellStyle name="Comma 2" xfId="2" xr:uid="{00000000-0005-0000-0000-000002000000}"/>
    <cellStyle name="Milliers 2" xfId="4" xr:uid="{00000000-0005-0000-0000-000003000000}"/>
    <cellStyle name="Normal" xfId="0" builtinId="0"/>
    <cellStyle name="Percent" xfId="5" builtinId="5"/>
  </cellStyles>
  <dxfs count="0"/>
  <tableStyles count="0" defaultTableStyle="TableStyleMedium2" defaultPivotStyle="PivotStyleLight16"/>
  <colors>
    <mruColors>
      <color rgb="FFD57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28"/>
  <sheetViews>
    <sheetView tabSelected="1" topLeftCell="B1" zoomScale="90" zoomScaleNormal="90" workbookViewId="0">
      <pane ySplit="5" topLeftCell="A6" activePane="bottomLeft" state="frozen"/>
      <selection pane="bottomLeft" activeCell="B108" sqref="B108:F109"/>
    </sheetView>
  </sheetViews>
  <sheetFormatPr defaultColWidth="11.42578125" defaultRowHeight="14.25"/>
  <cols>
    <col min="1" max="1" width="10.28515625" customWidth="1"/>
    <col min="2" max="2" width="64.42578125" customWidth="1"/>
    <col min="3" max="3" width="13.7109375" style="83" bestFit="1" customWidth="1"/>
    <col min="4" max="4" width="13" style="83" bestFit="1" customWidth="1"/>
    <col min="5" max="5" width="11.42578125" style="83" bestFit="1" customWidth="1"/>
    <col min="6" max="6" width="13.140625" style="83" bestFit="1" customWidth="1"/>
    <col min="7" max="7" width="18.85546875" style="83" bestFit="1" customWidth="1"/>
    <col min="9" max="10" width="11.42578125" bestFit="1" customWidth="1"/>
    <col min="11" max="11" width="12.85546875" bestFit="1" customWidth="1"/>
    <col min="12" max="12" width="11.42578125" bestFit="1" customWidth="1"/>
    <col min="13" max="14" width="12.85546875" bestFit="1" customWidth="1"/>
    <col min="15" max="16" width="11.42578125" bestFit="1" customWidth="1"/>
  </cols>
  <sheetData>
    <row r="1" spans="1:17" ht="7.15" customHeight="1"/>
    <row r="2" spans="1:17" ht="9" customHeight="1" thickBot="1"/>
    <row r="3" spans="1:17" ht="16.149999999999999" thickBot="1">
      <c r="A3" s="120" t="s">
        <v>0</v>
      </c>
      <c r="B3" s="121"/>
      <c r="C3" s="121"/>
      <c r="D3" s="121"/>
      <c r="E3" s="121"/>
      <c r="F3" s="121"/>
      <c r="G3" s="122"/>
      <c r="H3" s="24"/>
      <c r="I3" s="123" t="s">
        <v>1</v>
      </c>
      <c r="J3" s="124"/>
      <c r="K3" s="124"/>
      <c r="L3" s="124"/>
      <c r="M3" s="124"/>
      <c r="N3" s="125"/>
    </row>
    <row r="4" spans="1:17" ht="28.9" thickBot="1">
      <c r="A4" s="126" t="s">
        <v>2</v>
      </c>
      <c r="B4" s="126" t="s">
        <v>3</v>
      </c>
      <c r="C4" s="128" t="s">
        <v>4</v>
      </c>
      <c r="D4" s="130" t="s">
        <v>5</v>
      </c>
      <c r="E4" s="84" t="s">
        <v>6</v>
      </c>
      <c r="F4" s="63" t="s">
        <v>7</v>
      </c>
      <c r="G4" s="64" t="s">
        <v>7</v>
      </c>
      <c r="H4" s="18"/>
      <c r="I4" s="19" t="s">
        <v>8</v>
      </c>
      <c r="J4" s="20" t="s">
        <v>9</v>
      </c>
      <c r="K4" s="20" t="s">
        <v>10</v>
      </c>
      <c r="L4" s="21" t="s">
        <v>11</v>
      </c>
      <c r="M4" s="22" t="s">
        <v>12</v>
      </c>
      <c r="N4" s="23" t="s">
        <v>13</v>
      </c>
    </row>
    <row r="5" spans="1:17" ht="16.149999999999999" thickBot="1">
      <c r="A5" s="127"/>
      <c r="B5" s="127"/>
      <c r="C5" s="129"/>
      <c r="D5" s="129"/>
      <c r="E5" s="85" t="s">
        <v>14</v>
      </c>
      <c r="F5" s="65" t="s">
        <v>14</v>
      </c>
      <c r="G5" s="66" t="s">
        <v>15</v>
      </c>
      <c r="H5" s="18"/>
      <c r="I5" s="37" t="s">
        <v>15</v>
      </c>
      <c r="J5" s="38" t="s">
        <v>15</v>
      </c>
      <c r="K5" s="38" t="s">
        <v>15</v>
      </c>
      <c r="L5" s="38" t="s">
        <v>15</v>
      </c>
      <c r="M5" s="38" t="s">
        <v>15</v>
      </c>
      <c r="N5" s="39" t="s">
        <v>15</v>
      </c>
    </row>
    <row r="6" spans="1:17" ht="16.149999999999999" thickBot="1">
      <c r="A6" s="1">
        <v>5011</v>
      </c>
      <c r="B6" s="2" t="s">
        <v>16</v>
      </c>
      <c r="C6" s="67"/>
      <c r="D6" s="67"/>
      <c r="E6" s="86"/>
      <c r="F6" s="87">
        <f>+F7</f>
        <v>0</v>
      </c>
      <c r="G6" s="88">
        <f>F6/1.00300902708124</f>
        <v>0</v>
      </c>
      <c r="H6" s="18"/>
      <c r="I6" s="40"/>
      <c r="J6" s="41"/>
      <c r="K6" s="41"/>
      <c r="L6" s="42"/>
      <c r="M6" s="41"/>
      <c r="N6" s="43">
        <f t="shared" ref="N6:N12" si="0">+SUM(I6:M6)</f>
        <v>0</v>
      </c>
    </row>
    <row r="7" spans="1:17" ht="16.149999999999999" thickBot="1">
      <c r="A7" s="29"/>
      <c r="B7" s="30"/>
      <c r="C7" s="73"/>
      <c r="D7" s="73"/>
      <c r="E7" s="89"/>
      <c r="F7" s="90"/>
      <c r="G7" s="91"/>
      <c r="H7" s="18"/>
      <c r="I7" s="44"/>
      <c r="J7" s="45"/>
      <c r="K7" s="45"/>
      <c r="L7" s="46"/>
      <c r="M7" s="47">
        <f>F7</f>
        <v>0</v>
      </c>
      <c r="N7" s="47">
        <f t="shared" si="0"/>
        <v>0</v>
      </c>
    </row>
    <row r="8" spans="1:17" ht="16.149999999999999" thickBot="1">
      <c r="A8" s="7"/>
      <c r="B8" s="13"/>
      <c r="C8" s="68"/>
      <c r="D8" s="68"/>
      <c r="E8" s="92"/>
      <c r="F8" s="93"/>
      <c r="G8" s="94"/>
      <c r="H8" s="18"/>
      <c r="I8" s="44"/>
      <c r="J8" s="45"/>
      <c r="K8" s="45"/>
      <c r="L8" s="46"/>
      <c r="M8" s="45"/>
      <c r="N8" s="47">
        <f t="shared" si="0"/>
        <v>0</v>
      </c>
    </row>
    <row r="9" spans="1:17" ht="16.149999999999999" thickBot="1">
      <c r="A9" s="3">
        <v>5012</v>
      </c>
      <c r="B9" s="4" t="s">
        <v>17</v>
      </c>
      <c r="C9" s="69"/>
      <c r="D9" s="69"/>
      <c r="E9" s="95"/>
      <c r="F9" s="65">
        <f>+F10</f>
        <v>0</v>
      </c>
      <c r="G9" s="88">
        <f>F9/1.00300902708124</f>
        <v>0</v>
      </c>
      <c r="H9" s="18"/>
      <c r="I9" s="44"/>
      <c r="J9" s="45"/>
      <c r="K9" s="45"/>
      <c r="L9" s="46"/>
      <c r="M9" s="45"/>
      <c r="N9" s="47">
        <f t="shared" si="0"/>
        <v>0</v>
      </c>
    </row>
    <row r="10" spans="1:17" ht="16.149999999999999" thickBot="1">
      <c r="A10" s="5"/>
      <c r="B10" s="13"/>
      <c r="C10" s="68"/>
      <c r="D10" s="68"/>
      <c r="E10" s="96"/>
      <c r="F10" s="93">
        <f>+E10*D10</f>
        <v>0</v>
      </c>
      <c r="G10" s="94"/>
      <c r="H10" s="18"/>
      <c r="I10" s="44"/>
      <c r="J10" s="45"/>
      <c r="K10" s="45"/>
      <c r="L10" s="46"/>
      <c r="M10" s="45"/>
      <c r="N10" s="47">
        <f t="shared" si="0"/>
        <v>0</v>
      </c>
      <c r="Q10" s="60"/>
    </row>
    <row r="11" spans="1:17" ht="16.149999999999999" thickBot="1">
      <c r="A11" s="3">
        <v>5013</v>
      </c>
      <c r="B11" s="4" t="s">
        <v>18</v>
      </c>
      <c r="C11" s="69"/>
      <c r="D11" s="69"/>
      <c r="E11" s="95"/>
      <c r="F11" s="65">
        <f>F12+F16</f>
        <v>711610</v>
      </c>
      <c r="G11" s="65">
        <f>G12+G16</f>
        <v>709475.17000000016</v>
      </c>
      <c r="H11" s="18"/>
      <c r="I11" s="44"/>
      <c r="J11" s="45"/>
      <c r="K11" s="45"/>
      <c r="L11" s="46"/>
      <c r="M11" s="45"/>
      <c r="N11" s="47">
        <f t="shared" si="0"/>
        <v>0</v>
      </c>
    </row>
    <row r="12" spans="1:17" ht="16.149999999999999" thickBot="1">
      <c r="A12" s="6"/>
      <c r="B12" s="31" t="s">
        <v>19</v>
      </c>
      <c r="C12" s="70"/>
      <c r="D12" s="70"/>
      <c r="E12" s="97"/>
      <c r="F12" s="98">
        <f>SUM(F13:F15)</f>
        <v>38536</v>
      </c>
      <c r="G12" s="98">
        <f>SUM(G13:G15)</f>
        <v>38420.392</v>
      </c>
      <c r="H12" s="18"/>
      <c r="I12" s="44"/>
      <c r="J12" s="45"/>
      <c r="K12" s="45"/>
      <c r="L12" s="46"/>
      <c r="M12" s="45"/>
      <c r="N12" s="47">
        <f t="shared" si="0"/>
        <v>0</v>
      </c>
    </row>
    <row r="13" spans="1:17" ht="16.149999999999999" thickBot="1">
      <c r="A13" s="17">
        <v>5542</v>
      </c>
      <c r="B13" s="11" t="s">
        <v>20</v>
      </c>
      <c r="C13" s="71" t="s">
        <v>21</v>
      </c>
      <c r="D13" s="71">
        <v>2</v>
      </c>
      <c r="E13" s="99">
        <v>9500</v>
      </c>
      <c r="F13" s="100">
        <f>+D13*E13</f>
        <v>19000</v>
      </c>
      <c r="G13" s="101">
        <f>F13*$C$125</f>
        <v>18943</v>
      </c>
      <c r="H13" s="18"/>
      <c r="I13" s="44"/>
      <c r="J13" s="45"/>
      <c r="K13" s="45"/>
      <c r="L13" s="46"/>
      <c r="M13" s="47">
        <f>G13</f>
        <v>18943</v>
      </c>
      <c r="N13" s="47">
        <f>+SUM(I13:M13)</f>
        <v>18943</v>
      </c>
    </row>
    <row r="14" spans="1:17" ht="16.149999999999999" thickBot="1">
      <c r="A14" s="17">
        <v>5542</v>
      </c>
      <c r="B14" s="11" t="s">
        <v>22</v>
      </c>
      <c r="C14" s="71" t="s">
        <v>21</v>
      </c>
      <c r="D14" s="71">
        <v>2</v>
      </c>
      <c r="E14" s="99">
        <v>9500</v>
      </c>
      <c r="F14" s="100">
        <f>+D14*E14</f>
        <v>19000</v>
      </c>
      <c r="G14" s="101">
        <f>F14*$C$125</f>
        <v>18943</v>
      </c>
      <c r="H14" s="18"/>
      <c r="I14" s="44"/>
      <c r="J14" s="45"/>
      <c r="K14" s="45"/>
      <c r="L14" s="46"/>
      <c r="M14" s="47">
        <f>G14</f>
        <v>18943</v>
      </c>
      <c r="N14" s="47">
        <f t="shared" ref="N14:N79" si="1">+SUM(I14:M14)</f>
        <v>18943</v>
      </c>
    </row>
    <row r="15" spans="1:17" ht="16.149999999999999" thickBot="1">
      <c r="A15" s="16"/>
      <c r="B15" s="118" t="s">
        <v>23</v>
      </c>
      <c r="C15" s="73" t="s">
        <v>24</v>
      </c>
      <c r="D15" s="73">
        <f>D13+D14</f>
        <v>4</v>
      </c>
      <c r="E15" s="89">
        <v>134</v>
      </c>
      <c r="F15" s="89">
        <f>+E15*D15</f>
        <v>536</v>
      </c>
      <c r="G15" s="101">
        <f>F15*$C$125</f>
        <v>534.39200000000005</v>
      </c>
      <c r="H15" s="18"/>
      <c r="I15" s="44"/>
      <c r="J15" s="45"/>
      <c r="K15" s="45"/>
      <c r="L15" s="46"/>
      <c r="M15" s="47">
        <f>G15</f>
        <v>534.39200000000005</v>
      </c>
      <c r="N15" s="47">
        <f t="shared" si="1"/>
        <v>534.39200000000005</v>
      </c>
    </row>
    <row r="16" spans="1:17" ht="16.149999999999999" thickBot="1">
      <c r="A16" s="15"/>
      <c r="B16" s="31" t="s">
        <v>25</v>
      </c>
      <c r="C16" s="71"/>
      <c r="D16" s="71"/>
      <c r="E16" s="99"/>
      <c r="F16" s="98">
        <f>SUM(F17:F33)</f>
        <v>673074</v>
      </c>
      <c r="G16" s="98">
        <f>SUM(G17:G33)</f>
        <v>671054.77800000017</v>
      </c>
      <c r="H16" s="18"/>
      <c r="I16" s="44"/>
      <c r="J16" s="45"/>
      <c r="K16" s="45"/>
      <c r="L16" s="46"/>
      <c r="M16" s="45"/>
      <c r="N16" s="47">
        <f t="shared" si="1"/>
        <v>0</v>
      </c>
    </row>
    <row r="17" spans="1:16" ht="16.149999999999999" thickBot="1">
      <c r="A17" s="17">
        <v>5551</v>
      </c>
      <c r="B17" s="11" t="s">
        <v>26</v>
      </c>
      <c r="C17" s="71" t="s">
        <v>21</v>
      </c>
      <c r="D17" s="71">
        <v>48</v>
      </c>
      <c r="E17" s="99">
        <v>3578</v>
      </c>
      <c r="F17" s="100">
        <f>+D17*E17</f>
        <v>171744</v>
      </c>
      <c r="G17" s="101">
        <f t="shared" ref="G17:G35" si="2">F17*$C$125</f>
        <v>171228.76800000001</v>
      </c>
      <c r="H17" s="18"/>
      <c r="I17" s="44"/>
      <c r="J17" s="45"/>
      <c r="K17" s="45"/>
      <c r="L17" s="46"/>
      <c r="M17" s="47">
        <f t="shared" ref="M17:M33" si="3">G17</f>
        <v>171228.76800000001</v>
      </c>
      <c r="N17" s="47">
        <f t="shared" si="1"/>
        <v>171228.76800000001</v>
      </c>
      <c r="O17">
        <f t="shared" ref="O17:O29" si="4">D17</f>
        <v>48</v>
      </c>
      <c r="P17">
        <f>D30+D31+D32/17.8</f>
        <v>92.528089887640448</v>
      </c>
    </row>
    <row r="18" spans="1:16" ht="16.149999999999999" thickBot="1">
      <c r="A18" s="17">
        <v>5551</v>
      </c>
      <c r="B18" s="11" t="s">
        <v>27</v>
      </c>
      <c r="C18" s="71" t="s">
        <v>21</v>
      </c>
      <c r="D18" s="71">
        <v>12</v>
      </c>
      <c r="E18" s="72">
        <v>3578</v>
      </c>
      <c r="F18" s="100">
        <f t="shared" ref="F18:F29" si="5">+E18*D18</f>
        <v>42936</v>
      </c>
      <c r="G18" s="101">
        <f t="shared" si="2"/>
        <v>42807.192000000003</v>
      </c>
      <c r="H18" s="18"/>
      <c r="I18" s="44"/>
      <c r="J18" s="45"/>
      <c r="K18" s="45"/>
      <c r="L18" s="46"/>
      <c r="M18" s="47">
        <f t="shared" si="3"/>
        <v>42807.192000000003</v>
      </c>
      <c r="N18" s="47">
        <f t="shared" si="1"/>
        <v>42807.192000000003</v>
      </c>
      <c r="O18">
        <f t="shared" si="4"/>
        <v>12</v>
      </c>
    </row>
    <row r="19" spans="1:16" ht="16.149999999999999" thickBot="1">
      <c r="A19" s="17">
        <v>5551</v>
      </c>
      <c r="B19" s="11" t="s">
        <v>28</v>
      </c>
      <c r="C19" s="71" t="s">
        <v>21</v>
      </c>
      <c r="D19" s="71">
        <v>6</v>
      </c>
      <c r="E19" s="72">
        <v>3578</v>
      </c>
      <c r="F19" s="100">
        <f t="shared" si="5"/>
        <v>21468</v>
      </c>
      <c r="G19" s="101">
        <f t="shared" si="2"/>
        <v>21403.596000000001</v>
      </c>
      <c r="H19" s="18"/>
      <c r="I19" s="44"/>
      <c r="J19" s="45"/>
      <c r="K19" s="45"/>
      <c r="L19" s="46"/>
      <c r="M19" s="47">
        <f t="shared" si="3"/>
        <v>21403.596000000001</v>
      </c>
      <c r="N19" s="47">
        <f t="shared" si="1"/>
        <v>21403.596000000001</v>
      </c>
      <c r="O19">
        <f t="shared" si="4"/>
        <v>6</v>
      </c>
    </row>
    <row r="20" spans="1:16" ht="16.149999999999999" thickBot="1">
      <c r="A20" s="17">
        <v>5551</v>
      </c>
      <c r="B20" s="11" t="s">
        <v>29</v>
      </c>
      <c r="C20" s="71" t="s">
        <v>21</v>
      </c>
      <c r="D20" s="71">
        <v>6</v>
      </c>
      <c r="E20" s="72">
        <v>3578</v>
      </c>
      <c r="F20" s="100">
        <f t="shared" si="5"/>
        <v>21468</v>
      </c>
      <c r="G20" s="101">
        <f t="shared" si="2"/>
        <v>21403.596000000001</v>
      </c>
      <c r="H20" s="18"/>
      <c r="I20" s="44"/>
      <c r="J20" s="45"/>
      <c r="K20" s="45"/>
      <c r="L20" s="46"/>
      <c r="M20" s="47">
        <f t="shared" si="3"/>
        <v>21403.596000000001</v>
      </c>
      <c r="N20" s="47">
        <f t="shared" si="1"/>
        <v>21403.596000000001</v>
      </c>
      <c r="O20">
        <f t="shared" si="4"/>
        <v>6</v>
      </c>
    </row>
    <row r="21" spans="1:16" ht="16.149999999999999" thickBot="1">
      <c r="A21" s="17">
        <v>5551</v>
      </c>
      <c r="B21" s="11" t="s">
        <v>30</v>
      </c>
      <c r="C21" s="71" t="s">
        <v>21</v>
      </c>
      <c r="D21" s="71">
        <v>6</v>
      </c>
      <c r="E21" s="72">
        <v>3578</v>
      </c>
      <c r="F21" s="100">
        <f t="shared" si="5"/>
        <v>21468</v>
      </c>
      <c r="G21" s="101">
        <f t="shared" si="2"/>
        <v>21403.596000000001</v>
      </c>
      <c r="H21" s="18"/>
      <c r="I21" s="44"/>
      <c r="J21" s="45"/>
      <c r="K21" s="45"/>
      <c r="L21" s="46"/>
      <c r="M21" s="47">
        <f t="shared" si="3"/>
        <v>21403.596000000001</v>
      </c>
      <c r="N21" s="47">
        <f t="shared" si="1"/>
        <v>21403.596000000001</v>
      </c>
      <c r="O21">
        <f t="shared" si="4"/>
        <v>6</v>
      </c>
    </row>
    <row r="22" spans="1:16" ht="31.9" thickBot="1">
      <c r="A22" s="17">
        <v>5551</v>
      </c>
      <c r="B22" s="11" t="s">
        <v>31</v>
      </c>
      <c r="C22" s="71" t="s">
        <v>21</v>
      </c>
      <c r="D22" s="71">
        <f>3*8</f>
        <v>24</v>
      </c>
      <c r="E22" s="72">
        <v>2050</v>
      </c>
      <c r="F22" s="102">
        <f t="shared" si="5"/>
        <v>49200</v>
      </c>
      <c r="G22" s="101">
        <f t="shared" si="2"/>
        <v>49052.4</v>
      </c>
      <c r="H22" s="18"/>
      <c r="I22" s="44"/>
      <c r="J22" s="45"/>
      <c r="K22" s="45"/>
      <c r="L22" s="46"/>
      <c r="M22" s="47">
        <f t="shared" si="3"/>
        <v>49052.4</v>
      </c>
      <c r="N22" s="47">
        <f t="shared" si="1"/>
        <v>49052.4</v>
      </c>
      <c r="O22">
        <f t="shared" si="4"/>
        <v>24</v>
      </c>
    </row>
    <row r="23" spans="1:16" ht="16.149999999999999" thickBot="1">
      <c r="A23" s="17">
        <v>5551</v>
      </c>
      <c r="B23" s="11" t="s">
        <v>32</v>
      </c>
      <c r="C23" s="71" t="s">
        <v>21</v>
      </c>
      <c r="D23" s="71">
        <v>6</v>
      </c>
      <c r="E23" s="72">
        <v>5000</v>
      </c>
      <c r="F23" s="102">
        <f t="shared" si="5"/>
        <v>30000</v>
      </c>
      <c r="G23" s="101">
        <f t="shared" si="2"/>
        <v>29910</v>
      </c>
      <c r="H23" s="18"/>
      <c r="I23" s="44"/>
      <c r="J23" s="45"/>
      <c r="K23" s="45"/>
      <c r="L23" s="46"/>
      <c r="M23" s="47">
        <f t="shared" si="3"/>
        <v>29910</v>
      </c>
      <c r="N23" s="47">
        <f t="shared" si="1"/>
        <v>29910</v>
      </c>
      <c r="O23">
        <f t="shared" si="4"/>
        <v>6</v>
      </c>
    </row>
    <row r="24" spans="1:16" ht="16.149999999999999" thickBot="1">
      <c r="A24" s="17">
        <v>5551</v>
      </c>
      <c r="B24" s="11" t="s">
        <v>33</v>
      </c>
      <c r="C24" s="71" t="s">
        <v>21</v>
      </c>
      <c r="D24" s="71">
        <v>6</v>
      </c>
      <c r="E24" s="72">
        <v>3578</v>
      </c>
      <c r="F24" s="102">
        <f t="shared" si="5"/>
        <v>21468</v>
      </c>
      <c r="G24" s="101">
        <f t="shared" si="2"/>
        <v>21403.596000000001</v>
      </c>
      <c r="H24" s="18"/>
      <c r="I24" s="44"/>
      <c r="J24" s="45"/>
      <c r="K24" s="45"/>
      <c r="L24" s="46"/>
      <c r="M24" s="47">
        <f t="shared" si="3"/>
        <v>21403.596000000001</v>
      </c>
      <c r="N24" s="47">
        <f t="shared" si="1"/>
        <v>21403.596000000001</v>
      </c>
      <c r="O24">
        <f t="shared" si="4"/>
        <v>6</v>
      </c>
    </row>
    <row r="25" spans="1:16" ht="16.149999999999999" thickBot="1">
      <c r="A25" s="17">
        <v>5551</v>
      </c>
      <c r="B25" s="11" t="s">
        <v>34</v>
      </c>
      <c r="C25" s="71" t="s">
        <v>21</v>
      </c>
      <c r="D25" s="71">
        <v>12</v>
      </c>
      <c r="E25" s="72">
        <v>3578</v>
      </c>
      <c r="F25" s="102">
        <f t="shared" si="5"/>
        <v>42936</v>
      </c>
      <c r="G25" s="101">
        <f t="shared" si="2"/>
        <v>42807.192000000003</v>
      </c>
      <c r="H25" s="18"/>
      <c r="I25" s="44"/>
      <c r="J25" s="45"/>
      <c r="K25" s="45"/>
      <c r="L25" s="46"/>
      <c r="M25" s="47">
        <f t="shared" si="3"/>
        <v>42807.192000000003</v>
      </c>
      <c r="N25" s="47">
        <f t="shared" si="1"/>
        <v>42807.192000000003</v>
      </c>
      <c r="O25">
        <f t="shared" si="4"/>
        <v>12</v>
      </c>
    </row>
    <row r="26" spans="1:16" ht="16.149999999999999" thickBot="1">
      <c r="A26" s="17">
        <v>5551</v>
      </c>
      <c r="B26" s="11" t="s">
        <v>35</v>
      </c>
      <c r="C26" s="71" t="s">
        <v>21</v>
      </c>
      <c r="D26" s="71">
        <v>48</v>
      </c>
      <c r="E26" s="72">
        <v>1695</v>
      </c>
      <c r="F26" s="102">
        <f t="shared" si="5"/>
        <v>81360</v>
      </c>
      <c r="G26" s="101">
        <f t="shared" si="2"/>
        <v>81115.92</v>
      </c>
      <c r="H26" s="18"/>
      <c r="I26" s="44"/>
      <c r="J26" s="45"/>
      <c r="K26" s="45"/>
      <c r="L26" s="46"/>
      <c r="M26" s="47">
        <f t="shared" si="3"/>
        <v>81115.92</v>
      </c>
      <c r="N26" s="47">
        <f t="shared" si="1"/>
        <v>81115.92</v>
      </c>
      <c r="O26">
        <f t="shared" si="4"/>
        <v>48</v>
      </c>
    </row>
    <row r="27" spans="1:16" ht="16.149999999999999" thickBot="1">
      <c r="A27" s="17">
        <v>5551</v>
      </c>
      <c r="B27" s="11" t="s">
        <v>36</v>
      </c>
      <c r="C27" s="71" t="s">
        <v>21</v>
      </c>
      <c r="D27" s="71">
        <v>96</v>
      </c>
      <c r="E27" s="72">
        <v>910</v>
      </c>
      <c r="F27" s="102">
        <f t="shared" si="5"/>
        <v>87360</v>
      </c>
      <c r="G27" s="101">
        <f t="shared" si="2"/>
        <v>87097.919999999998</v>
      </c>
      <c r="H27" s="18"/>
      <c r="I27" s="44"/>
      <c r="J27" s="45"/>
      <c r="K27" s="45"/>
      <c r="L27" s="46"/>
      <c r="M27" s="47">
        <f t="shared" si="3"/>
        <v>87097.919999999998</v>
      </c>
      <c r="N27" s="47">
        <f t="shared" si="1"/>
        <v>87097.919999999998</v>
      </c>
      <c r="O27">
        <f t="shared" si="4"/>
        <v>96</v>
      </c>
    </row>
    <row r="28" spans="1:16" ht="16.149999999999999" thickBot="1">
      <c r="A28" s="17">
        <v>5551</v>
      </c>
      <c r="B28" s="11" t="s">
        <v>37</v>
      </c>
      <c r="C28" s="71" t="s">
        <v>21</v>
      </c>
      <c r="D28" s="71">
        <v>9</v>
      </c>
      <c r="E28" s="72">
        <v>2733</v>
      </c>
      <c r="F28" s="102">
        <f t="shared" si="5"/>
        <v>24597</v>
      </c>
      <c r="G28" s="101">
        <f t="shared" si="2"/>
        <v>24523.208999999999</v>
      </c>
      <c r="H28" s="18"/>
      <c r="I28" s="44"/>
      <c r="J28" s="45"/>
      <c r="K28" s="45"/>
      <c r="L28" s="46"/>
      <c r="M28" s="47">
        <f t="shared" si="3"/>
        <v>24523.208999999999</v>
      </c>
      <c r="N28" s="47">
        <f t="shared" si="1"/>
        <v>24523.208999999999</v>
      </c>
      <c r="O28">
        <f t="shared" si="4"/>
        <v>9</v>
      </c>
    </row>
    <row r="29" spans="1:16" ht="16.149999999999999" thickBot="1">
      <c r="A29" s="17">
        <v>5551</v>
      </c>
      <c r="B29" s="11" t="s">
        <v>38</v>
      </c>
      <c r="C29" s="71" t="s">
        <v>21</v>
      </c>
      <c r="D29" s="71">
        <v>9</v>
      </c>
      <c r="E29" s="72">
        <v>2733</v>
      </c>
      <c r="F29" s="102">
        <f t="shared" si="5"/>
        <v>24597</v>
      </c>
      <c r="G29" s="101">
        <f t="shared" si="2"/>
        <v>24523.208999999999</v>
      </c>
      <c r="H29" s="18"/>
      <c r="I29" s="44"/>
      <c r="J29" s="45"/>
      <c r="K29" s="45"/>
      <c r="L29" s="46"/>
      <c r="M29" s="47">
        <f t="shared" si="3"/>
        <v>24523.208999999999</v>
      </c>
      <c r="N29" s="47">
        <f t="shared" si="1"/>
        <v>24523.208999999999</v>
      </c>
      <c r="O29">
        <f t="shared" si="4"/>
        <v>9</v>
      </c>
    </row>
    <row r="30" spans="1:16" ht="31.9" thickBot="1">
      <c r="A30" s="17">
        <v>5543</v>
      </c>
      <c r="B30" s="11" t="s">
        <v>39</v>
      </c>
      <c r="C30" s="71" t="s">
        <v>40</v>
      </c>
      <c r="D30" s="71">
        <v>45</v>
      </c>
      <c r="E30" s="72">
        <v>188</v>
      </c>
      <c r="F30" s="102">
        <f>+E30*D30</f>
        <v>8460</v>
      </c>
      <c r="G30" s="101">
        <f t="shared" si="2"/>
        <v>8434.6200000000008</v>
      </c>
      <c r="H30" s="18"/>
      <c r="I30" s="44"/>
      <c r="J30" s="45"/>
      <c r="K30" s="45"/>
      <c r="L30" s="46"/>
      <c r="M30" s="47">
        <f t="shared" si="3"/>
        <v>8434.6200000000008</v>
      </c>
      <c r="N30" s="47">
        <f t="shared" si="1"/>
        <v>8434.6200000000008</v>
      </c>
    </row>
    <row r="31" spans="1:16" ht="31.9" thickBot="1">
      <c r="A31" s="17">
        <v>5543</v>
      </c>
      <c r="B31" s="11" t="s">
        <v>41</v>
      </c>
      <c r="C31" s="71" t="s">
        <v>40</v>
      </c>
      <c r="D31" s="71">
        <v>45</v>
      </c>
      <c r="E31" s="72">
        <v>188</v>
      </c>
      <c r="F31" s="102">
        <f t="shared" ref="F31:F35" si="6">+E31*D31</f>
        <v>8460</v>
      </c>
      <c r="G31" s="101">
        <f t="shared" si="2"/>
        <v>8434.6200000000008</v>
      </c>
      <c r="H31" s="18"/>
      <c r="I31" s="44"/>
      <c r="J31" s="45"/>
      <c r="K31" s="45"/>
      <c r="L31" s="46"/>
      <c r="M31" s="47">
        <f t="shared" si="3"/>
        <v>8434.6200000000008</v>
      </c>
      <c r="N31" s="47">
        <f t="shared" si="1"/>
        <v>8434.6200000000008</v>
      </c>
    </row>
    <row r="32" spans="1:16" ht="31.9" thickBot="1">
      <c r="A32" s="17">
        <v>5543</v>
      </c>
      <c r="B32" s="11" t="s">
        <v>42</v>
      </c>
      <c r="C32" s="71" t="s">
        <v>40</v>
      </c>
      <c r="D32" s="71">
        <v>45</v>
      </c>
      <c r="E32" s="72">
        <v>188</v>
      </c>
      <c r="F32" s="102">
        <f t="shared" si="6"/>
        <v>8460</v>
      </c>
      <c r="G32" s="101">
        <f t="shared" si="2"/>
        <v>8434.6200000000008</v>
      </c>
      <c r="H32" s="18"/>
      <c r="I32" s="44"/>
      <c r="J32" s="45"/>
      <c r="K32" s="45"/>
      <c r="L32" s="46"/>
      <c r="M32" s="47">
        <f t="shared" si="3"/>
        <v>8434.6200000000008</v>
      </c>
      <c r="N32" s="47">
        <f t="shared" si="1"/>
        <v>8434.6200000000008</v>
      </c>
    </row>
    <row r="33" spans="1:15" ht="16.149999999999999" thickBot="1">
      <c r="A33" s="16"/>
      <c r="B33" s="118" t="s">
        <v>43</v>
      </c>
      <c r="C33" s="73" t="s">
        <v>24</v>
      </c>
      <c r="D33" s="73">
        <f>O33</f>
        <v>295.5</v>
      </c>
      <c r="E33" s="89">
        <v>24</v>
      </c>
      <c r="F33" s="102">
        <f t="shared" si="6"/>
        <v>7092</v>
      </c>
      <c r="G33" s="101">
        <f t="shared" si="2"/>
        <v>7070.7240000000002</v>
      </c>
      <c r="H33" s="58"/>
      <c r="I33" s="44"/>
      <c r="J33" s="45"/>
      <c r="K33" s="45"/>
      <c r="L33" s="46"/>
      <c r="M33" s="47">
        <f t="shared" si="3"/>
        <v>7070.7240000000002</v>
      </c>
      <c r="N33" s="47">
        <f t="shared" si="1"/>
        <v>7070.7240000000002</v>
      </c>
      <c r="O33" s="48">
        <f>(D30+D31+D32)/18+D17+D18+D19+D20+D21+D22+D23+D24+D25+D26+D27+D28+D29</f>
        <v>295.5</v>
      </c>
    </row>
    <row r="34" spans="1:15" ht="16.149999999999999" thickBot="1">
      <c r="A34" s="1">
        <v>5020</v>
      </c>
      <c r="B34" s="2" t="s">
        <v>44</v>
      </c>
      <c r="C34" s="67"/>
      <c r="D34" s="67"/>
      <c r="E34" s="86"/>
      <c r="F34" s="87">
        <f>SUM(F35)</f>
        <v>10455</v>
      </c>
      <c r="G34" s="87">
        <f>SUM(G35)</f>
        <v>10423.635</v>
      </c>
      <c r="H34" s="18"/>
      <c r="I34" s="44"/>
      <c r="J34" s="45"/>
      <c r="K34" s="45"/>
      <c r="L34" s="46"/>
      <c r="M34" s="45"/>
      <c r="N34" s="47">
        <f t="shared" si="1"/>
        <v>0</v>
      </c>
    </row>
    <row r="35" spans="1:15" ht="16.149999999999999" thickBot="1">
      <c r="A35" s="10"/>
      <c r="B35" s="11" t="s">
        <v>45</v>
      </c>
      <c r="C35" s="73" t="s">
        <v>46</v>
      </c>
      <c r="D35" s="73">
        <v>1</v>
      </c>
      <c r="E35" s="89">
        <v>10455</v>
      </c>
      <c r="F35" s="102">
        <f t="shared" si="6"/>
        <v>10455</v>
      </c>
      <c r="G35" s="101">
        <f t="shared" si="2"/>
        <v>10423.635</v>
      </c>
      <c r="H35" s="18"/>
      <c r="I35" s="44"/>
      <c r="J35" s="45"/>
      <c r="K35" s="45"/>
      <c r="L35" s="46"/>
      <c r="M35" s="47">
        <f>G35</f>
        <v>10423.635</v>
      </c>
      <c r="N35" s="47">
        <f t="shared" si="1"/>
        <v>10423.635</v>
      </c>
    </row>
    <row r="36" spans="1:15" ht="16.149999999999999" thickBot="1">
      <c r="A36" s="8">
        <v>5014</v>
      </c>
      <c r="B36" s="9" t="s">
        <v>47</v>
      </c>
      <c r="C36" s="74"/>
      <c r="D36" s="74"/>
      <c r="E36" s="86"/>
      <c r="F36" s="103">
        <f>SUM(F37:F54)</f>
        <v>2861697</v>
      </c>
      <c r="G36" s="103">
        <f>SUM(G37:G54)</f>
        <v>2853111.909</v>
      </c>
      <c r="H36" s="18"/>
      <c r="I36" s="44"/>
      <c r="J36" s="45"/>
      <c r="K36" s="45"/>
      <c r="L36" s="46"/>
      <c r="M36" s="45"/>
      <c r="N36" s="47">
        <f t="shared" si="1"/>
        <v>0</v>
      </c>
    </row>
    <row r="37" spans="1:15" ht="16.149999999999999" thickBot="1">
      <c r="A37" s="17">
        <v>5571</v>
      </c>
      <c r="B37" s="11" t="s">
        <v>48</v>
      </c>
      <c r="C37" s="73" t="s">
        <v>49</v>
      </c>
      <c r="D37" s="73">
        <v>2</v>
      </c>
      <c r="E37" s="89">
        <v>20000</v>
      </c>
      <c r="F37" s="102">
        <f t="shared" ref="F37:F54" si="7">+E37*D37</f>
        <v>40000</v>
      </c>
      <c r="G37" s="101">
        <f t="shared" ref="G37:G54" si="8">F37*$C$125</f>
        <v>39880</v>
      </c>
      <c r="H37" s="18"/>
      <c r="I37" s="49">
        <f>G37/4</f>
        <v>9970</v>
      </c>
      <c r="J37" s="50">
        <v>9970.0000000000382</v>
      </c>
      <c r="K37" s="50">
        <v>9970.0000000000382</v>
      </c>
      <c r="L37" s="51">
        <v>9970.0000000000382</v>
      </c>
      <c r="M37" s="50"/>
      <c r="N37" s="47">
        <f>+SUM(I37:M37)</f>
        <v>39880.000000000109</v>
      </c>
    </row>
    <row r="38" spans="1:15" ht="16.149999999999999" thickBot="1">
      <c r="A38" s="17">
        <v>5571</v>
      </c>
      <c r="B38" s="11" t="s">
        <v>50</v>
      </c>
      <c r="C38" s="73" t="s">
        <v>49</v>
      </c>
      <c r="D38" s="73">
        <v>1</v>
      </c>
      <c r="E38" s="89">
        <v>24379</v>
      </c>
      <c r="F38" s="102">
        <f t="shared" si="7"/>
        <v>24379</v>
      </c>
      <c r="G38" s="101">
        <f t="shared" si="8"/>
        <v>24305.863000000001</v>
      </c>
      <c r="H38" s="18"/>
      <c r="I38" s="49">
        <f>G38/4</f>
        <v>6076.4657500000003</v>
      </c>
      <c r="J38" s="49">
        <v>6076.3660500000933</v>
      </c>
      <c r="K38" s="49">
        <v>6076.3660500000933</v>
      </c>
      <c r="L38" s="49">
        <v>6076.3660500000933</v>
      </c>
      <c r="M38" s="50"/>
      <c r="N38" s="47">
        <f>+SUM(I38:M38)</f>
        <v>24305.563900000277</v>
      </c>
    </row>
    <row r="39" spans="1:15" ht="31.9" thickBot="1">
      <c r="A39" s="17">
        <v>5571</v>
      </c>
      <c r="B39" s="11" t="s">
        <v>51</v>
      </c>
      <c r="C39" s="73" t="s">
        <v>49</v>
      </c>
      <c r="D39" s="73">
        <v>1</v>
      </c>
      <c r="E39" s="89">
        <v>20000</v>
      </c>
      <c r="F39" s="102">
        <f t="shared" si="7"/>
        <v>20000</v>
      </c>
      <c r="G39" s="101">
        <f t="shared" si="8"/>
        <v>19940</v>
      </c>
      <c r="H39" s="18"/>
      <c r="I39" s="44"/>
      <c r="J39" s="47">
        <f>+G39</f>
        <v>19940</v>
      </c>
      <c r="K39" s="45"/>
      <c r="L39" s="46"/>
      <c r="M39" s="45"/>
      <c r="N39" s="47">
        <f t="shared" si="1"/>
        <v>19940</v>
      </c>
    </row>
    <row r="40" spans="1:15" ht="31.9" thickBot="1">
      <c r="A40" s="17">
        <v>5572</v>
      </c>
      <c r="B40" s="11" t="s">
        <v>52</v>
      </c>
      <c r="C40" s="73" t="s">
        <v>49</v>
      </c>
      <c r="D40" s="73">
        <v>1</v>
      </c>
      <c r="E40" s="89">
        <f>30000*3</f>
        <v>90000</v>
      </c>
      <c r="F40" s="102">
        <f t="shared" si="7"/>
        <v>90000</v>
      </c>
      <c r="G40" s="101">
        <f t="shared" si="8"/>
        <v>89730</v>
      </c>
      <c r="H40" s="18"/>
      <c r="I40" s="44"/>
      <c r="J40" s="47">
        <f>+G40</f>
        <v>89730</v>
      </c>
      <c r="K40" s="45"/>
      <c r="L40" s="46"/>
      <c r="M40" s="45"/>
      <c r="N40" s="47">
        <f t="shared" si="1"/>
        <v>89730</v>
      </c>
    </row>
    <row r="41" spans="1:15" ht="47.65" thickBot="1">
      <c r="A41" s="17">
        <v>5572</v>
      </c>
      <c r="B41" s="11" t="s">
        <v>53</v>
      </c>
      <c r="C41" s="73" t="s">
        <v>49</v>
      </c>
      <c r="D41" s="73">
        <v>3</v>
      </c>
      <c r="E41" s="89">
        <v>20000</v>
      </c>
      <c r="F41" s="102">
        <f t="shared" si="7"/>
        <v>60000</v>
      </c>
      <c r="G41" s="101">
        <f t="shared" si="8"/>
        <v>59820</v>
      </c>
      <c r="H41" s="18"/>
      <c r="I41" s="44"/>
      <c r="J41" s="45"/>
      <c r="K41" s="47">
        <f t="shared" ref="K41:K46" si="9">+G41</f>
        <v>59820</v>
      </c>
      <c r="L41" s="46"/>
      <c r="M41" s="47"/>
      <c r="N41" s="47">
        <f t="shared" si="1"/>
        <v>59820</v>
      </c>
    </row>
    <row r="42" spans="1:15" ht="31.9" thickBot="1">
      <c r="A42" s="17">
        <v>5572</v>
      </c>
      <c r="B42" s="11" t="s">
        <v>54</v>
      </c>
      <c r="C42" s="73" t="s">
        <v>49</v>
      </c>
      <c r="D42" s="73">
        <v>15</v>
      </c>
      <c r="E42" s="89">
        <v>141978</v>
      </c>
      <c r="F42" s="102">
        <f t="shared" si="7"/>
        <v>2129670</v>
      </c>
      <c r="G42" s="101">
        <f t="shared" si="8"/>
        <v>2123280.9900000002</v>
      </c>
      <c r="H42" s="18"/>
      <c r="I42" s="44"/>
      <c r="J42" s="47"/>
      <c r="K42" s="47">
        <f t="shared" si="9"/>
        <v>2123280.9900000002</v>
      </c>
      <c r="L42" s="46"/>
      <c r="M42" s="47"/>
      <c r="N42" s="47">
        <f t="shared" si="1"/>
        <v>2123280.9900000002</v>
      </c>
    </row>
    <row r="43" spans="1:15" ht="31.9" thickBot="1">
      <c r="A43" s="17">
        <v>5572</v>
      </c>
      <c r="B43" s="11" t="s">
        <v>55</v>
      </c>
      <c r="C43" s="73" t="s">
        <v>49</v>
      </c>
      <c r="D43" s="73">
        <v>5</v>
      </c>
      <c r="E43" s="89">
        <v>25000</v>
      </c>
      <c r="F43" s="102">
        <f t="shared" si="7"/>
        <v>125000</v>
      </c>
      <c r="G43" s="101">
        <f t="shared" si="8"/>
        <v>124625</v>
      </c>
      <c r="H43" s="18"/>
      <c r="I43" s="44"/>
      <c r="J43" s="47"/>
      <c r="K43" s="47">
        <f t="shared" si="9"/>
        <v>124625</v>
      </c>
      <c r="L43" s="46"/>
      <c r="M43" s="47"/>
      <c r="N43" s="47">
        <f t="shared" si="1"/>
        <v>124625</v>
      </c>
    </row>
    <row r="44" spans="1:15" ht="47.65" thickBot="1">
      <c r="A44" s="17">
        <v>5571</v>
      </c>
      <c r="B44" s="11" t="s">
        <v>56</v>
      </c>
      <c r="C44" s="73" t="s">
        <v>49</v>
      </c>
      <c r="D44" s="73">
        <v>3</v>
      </c>
      <c r="E44" s="89">
        <v>20000</v>
      </c>
      <c r="F44" s="102">
        <f t="shared" si="7"/>
        <v>60000</v>
      </c>
      <c r="G44" s="101">
        <f t="shared" si="8"/>
        <v>59820</v>
      </c>
      <c r="H44" s="18"/>
      <c r="I44" s="44"/>
      <c r="J44" s="45"/>
      <c r="K44" s="47">
        <f t="shared" si="9"/>
        <v>59820</v>
      </c>
      <c r="L44" s="46"/>
      <c r="M44" s="47"/>
      <c r="N44" s="47">
        <f t="shared" si="1"/>
        <v>59820</v>
      </c>
    </row>
    <row r="45" spans="1:15" ht="31.9" thickBot="1">
      <c r="A45" s="17">
        <v>5572</v>
      </c>
      <c r="B45" s="11" t="s">
        <v>57</v>
      </c>
      <c r="C45" s="73" t="s">
        <v>49</v>
      </c>
      <c r="D45" s="73">
        <v>3</v>
      </c>
      <c r="E45" s="89">
        <v>40000</v>
      </c>
      <c r="F45" s="102">
        <f t="shared" si="7"/>
        <v>120000</v>
      </c>
      <c r="G45" s="101">
        <f t="shared" si="8"/>
        <v>119640</v>
      </c>
      <c r="H45" s="18"/>
      <c r="I45" s="44"/>
      <c r="J45" s="47"/>
      <c r="K45" s="47">
        <f t="shared" si="9"/>
        <v>119640</v>
      </c>
      <c r="L45" s="52"/>
      <c r="M45" s="47"/>
      <c r="N45" s="47">
        <f t="shared" si="1"/>
        <v>119640</v>
      </c>
    </row>
    <row r="46" spans="1:15" ht="47.65" thickBot="1">
      <c r="A46" s="17">
        <v>5572</v>
      </c>
      <c r="B46" s="11" t="s">
        <v>58</v>
      </c>
      <c r="C46" s="73" t="s">
        <v>49</v>
      </c>
      <c r="D46" s="73">
        <v>4</v>
      </c>
      <c r="E46" s="89">
        <v>5000</v>
      </c>
      <c r="F46" s="102">
        <f t="shared" si="7"/>
        <v>20000</v>
      </c>
      <c r="G46" s="101">
        <f t="shared" si="8"/>
        <v>19940</v>
      </c>
      <c r="H46" s="18"/>
      <c r="I46" s="44"/>
      <c r="J46" s="47"/>
      <c r="K46" s="47">
        <f t="shared" si="9"/>
        <v>19940</v>
      </c>
      <c r="L46" s="52"/>
      <c r="M46" s="47"/>
      <c r="N46" s="47">
        <f t="shared" si="1"/>
        <v>19940</v>
      </c>
    </row>
    <row r="47" spans="1:15" ht="16.149999999999999" thickBot="1">
      <c r="A47" s="17">
        <v>5571</v>
      </c>
      <c r="B47" s="11" t="s">
        <v>59</v>
      </c>
      <c r="C47" s="73" t="s">
        <v>49</v>
      </c>
      <c r="D47" s="73">
        <v>3</v>
      </c>
      <c r="E47" s="89">
        <v>10000</v>
      </c>
      <c r="F47" s="102">
        <f t="shared" si="7"/>
        <v>30000</v>
      </c>
      <c r="G47" s="101">
        <f t="shared" si="8"/>
        <v>29910</v>
      </c>
      <c r="H47" s="18"/>
      <c r="I47" s="44"/>
      <c r="J47" s="45"/>
      <c r="K47" s="45"/>
      <c r="L47" s="52">
        <f>+G47</f>
        <v>29910</v>
      </c>
      <c r="M47" s="45"/>
      <c r="N47" s="47">
        <f t="shared" si="1"/>
        <v>29910</v>
      </c>
    </row>
    <row r="48" spans="1:15" ht="16.149999999999999" thickBot="1">
      <c r="A48" s="17">
        <v>5571</v>
      </c>
      <c r="B48" s="11" t="s">
        <v>60</v>
      </c>
      <c r="C48" s="73" t="s">
        <v>49</v>
      </c>
      <c r="D48" s="73">
        <v>3</v>
      </c>
      <c r="E48" s="89">
        <v>10000</v>
      </c>
      <c r="F48" s="102">
        <f t="shared" si="7"/>
        <v>30000</v>
      </c>
      <c r="G48" s="101">
        <f t="shared" si="8"/>
        <v>29910</v>
      </c>
      <c r="H48" s="18"/>
      <c r="I48" s="44"/>
      <c r="J48" s="45"/>
      <c r="K48" s="45"/>
      <c r="L48" s="52">
        <f>+G48</f>
        <v>29910</v>
      </c>
      <c r="M48" s="45"/>
      <c r="N48" s="47">
        <f t="shared" si="1"/>
        <v>29910</v>
      </c>
    </row>
    <row r="49" spans="1:14" ht="47.65" thickBot="1">
      <c r="A49" s="17">
        <v>5571</v>
      </c>
      <c r="B49" s="11" t="s">
        <v>61</v>
      </c>
      <c r="C49" s="73" t="s">
        <v>49</v>
      </c>
      <c r="D49" s="73">
        <v>1</v>
      </c>
      <c r="E49" s="89">
        <v>19000</v>
      </c>
      <c r="F49" s="102">
        <f t="shared" si="7"/>
        <v>19000</v>
      </c>
      <c r="G49" s="101">
        <f t="shared" si="8"/>
        <v>18943</v>
      </c>
      <c r="H49" s="18"/>
      <c r="I49" s="44"/>
      <c r="J49" s="45"/>
      <c r="K49" s="47">
        <f>+G49</f>
        <v>18943</v>
      </c>
      <c r="L49" s="46"/>
      <c r="M49" s="47"/>
      <c r="N49" s="47">
        <f t="shared" si="1"/>
        <v>18943</v>
      </c>
    </row>
    <row r="50" spans="1:14" ht="16.149999999999999" thickBot="1">
      <c r="A50" s="17">
        <v>5574</v>
      </c>
      <c r="B50" s="11" t="s">
        <v>62</v>
      </c>
      <c r="C50" s="73" t="s">
        <v>63</v>
      </c>
      <c r="D50" s="73">
        <f>3*3</f>
        <v>9</v>
      </c>
      <c r="E50" s="89">
        <v>5000</v>
      </c>
      <c r="F50" s="102">
        <f t="shared" si="7"/>
        <v>45000</v>
      </c>
      <c r="G50" s="101">
        <f t="shared" si="8"/>
        <v>44865</v>
      </c>
      <c r="H50" s="18"/>
      <c r="I50" s="53">
        <f>+G50/4</f>
        <v>11216.25</v>
      </c>
      <c r="J50" s="50">
        <f>+I50</f>
        <v>11216.25</v>
      </c>
      <c r="K50" s="50">
        <f>+I50</f>
        <v>11216.25</v>
      </c>
      <c r="L50" s="51">
        <f>+I50</f>
        <v>11216.25</v>
      </c>
      <c r="M50" s="50"/>
      <c r="N50" s="47">
        <f t="shared" si="1"/>
        <v>44865</v>
      </c>
    </row>
    <row r="51" spans="1:14" ht="16.149999999999999" thickBot="1">
      <c r="A51" s="17">
        <v>5574</v>
      </c>
      <c r="B51" s="11" t="s">
        <v>64</v>
      </c>
      <c r="C51" s="73" t="s">
        <v>63</v>
      </c>
      <c r="D51" s="73">
        <f>3*3</f>
        <v>9</v>
      </c>
      <c r="E51" s="89">
        <v>5000</v>
      </c>
      <c r="F51" s="102">
        <f t="shared" si="7"/>
        <v>45000</v>
      </c>
      <c r="G51" s="101">
        <f t="shared" si="8"/>
        <v>44865</v>
      </c>
      <c r="H51" s="18"/>
      <c r="I51" s="53">
        <f>+G51/4</f>
        <v>11216.25</v>
      </c>
      <c r="J51" s="50">
        <f>+I51</f>
        <v>11216.25</v>
      </c>
      <c r="K51" s="50">
        <f>+I51</f>
        <v>11216.25</v>
      </c>
      <c r="L51" s="51">
        <f>+I51</f>
        <v>11216.25</v>
      </c>
      <c r="M51" s="50"/>
      <c r="N51" s="47">
        <f t="shared" si="1"/>
        <v>44865</v>
      </c>
    </row>
    <row r="52" spans="1:14" ht="16.149999999999999" thickBot="1">
      <c r="A52" s="10"/>
      <c r="B52" s="11" t="s">
        <v>65</v>
      </c>
      <c r="C52" s="73"/>
      <c r="D52" s="73">
        <f>D50+D51</f>
        <v>18</v>
      </c>
      <c r="E52" s="106">
        <v>100</v>
      </c>
      <c r="F52" s="106">
        <f t="shared" si="7"/>
        <v>1800</v>
      </c>
      <c r="G52" s="101">
        <f t="shared" si="8"/>
        <v>1794.6</v>
      </c>
      <c r="H52" s="18"/>
      <c r="I52" s="44"/>
      <c r="J52" s="45"/>
      <c r="K52" s="45"/>
      <c r="L52" s="46"/>
      <c r="M52" s="47">
        <f>G52</f>
        <v>1794.6</v>
      </c>
      <c r="N52" s="47">
        <f t="shared" si="1"/>
        <v>1794.6</v>
      </c>
    </row>
    <row r="53" spans="1:14" ht="16.149999999999999" thickBot="1">
      <c r="A53" s="10"/>
      <c r="B53" s="11" t="s">
        <v>65</v>
      </c>
      <c r="C53" s="73"/>
      <c r="D53" s="73">
        <f>D37+D38+D39+D40+D41+D42+D43+D44+D45+D46+D49+D48</f>
        <v>42</v>
      </c>
      <c r="E53" s="106">
        <v>44</v>
      </c>
      <c r="F53" s="106">
        <f t="shared" si="7"/>
        <v>1848</v>
      </c>
      <c r="G53" s="101">
        <f t="shared" si="8"/>
        <v>1842.4559999999999</v>
      </c>
      <c r="H53" s="18"/>
      <c r="I53" s="44"/>
      <c r="J53" s="45"/>
      <c r="K53" s="45"/>
      <c r="L53" s="46"/>
      <c r="M53" s="47">
        <f>G53</f>
        <v>1842.4559999999999</v>
      </c>
      <c r="N53" s="47">
        <f t="shared" si="1"/>
        <v>1842.4559999999999</v>
      </c>
    </row>
    <row r="54" spans="1:14" ht="16.149999999999999" thickBot="1">
      <c r="A54" s="10"/>
      <c r="B54" s="11" t="s">
        <v>66</v>
      </c>
      <c r="C54" s="73"/>
      <c r="D54" s="73"/>
      <c r="E54" s="106">
        <v>1948</v>
      </c>
      <c r="F54" s="106">
        <f t="shared" si="7"/>
        <v>0</v>
      </c>
      <c r="G54" s="101">
        <f t="shared" si="8"/>
        <v>0</v>
      </c>
      <c r="H54" s="18"/>
      <c r="I54" s="44"/>
      <c r="J54" s="45"/>
      <c r="K54" s="45"/>
      <c r="L54" s="46"/>
      <c r="M54" s="47">
        <f>G54</f>
        <v>0</v>
      </c>
      <c r="N54" s="47">
        <f t="shared" si="1"/>
        <v>0</v>
      </c>
    </row>
    <row r="55" spans="1:14" ht="16.149999999999999" thickBot="1">
      <c r="A55" s="8">
        <v>5021</v>
      </c>
      <c r="B55" s="9" t="s">
        <v>67</v>
      </c>
      <c r="C55" s="75"/>
      <c r="D55" s="75"/>
      <c r="E55" s="86"/>
      <c r="F55" s="103">
        <f>SUM(F56:F62)</f>
        <v>178857</v>
      </c>
      <c r="G55" s="103">
        <f>SUM(G56:G62)</f>
        <v>178320.42900000003</v>
      </c>
      <c r="H55" s="18"/>
      <c r="I55" s="44"/>
      <c r="J55" s="45"/>
      <c r="K55" s="45"/>
      <c r="L55" s="46"/>
      <c r="M55" s="45"/>
      <c r="N55" s="47">
        <f t="shared" si="1"/>
        <v>0</v>
      </c>
    </row>
    <row r="56" spans="1:14" ht="16.149999999999999" thickBot="1">
      <c r="A56" s="17">
        <v>5661</v>
      </c>
      <c r="B56" s="11" t="s">
        <v>68</v>
      </c>
      <c r="C56" s="73"/>
      <c r="D56" s="73">
        <v>1</v>
      </c>
      <c r="E56" s="89">
        <v>7112</v>
      </c>
      <c r="F56" s="104">
        <f>+E56*D56</f>
        <v>7112</v>
      </c>
      <c r="G56" s="101">
        <f t="shared" ref="G56:G62" si="10">F56*$C$125</f>
        <v>7090.6639999999998</v>
      </c>
      <c r="H56" s="18"/>
      <c r="I56" s="53">
        <f t="shared" ref="I56:I61" si="11">+G56/4</f>
        <v>1772.6659999999999</v>
      </c>
      <c r="J56" s="50">
        <f>+I56</f>
        <v>1772.6659999999999</v>
      </c>
      <c r="K56" s="50">
        <f>+I56</f>
        <v>1772.6659999999999</v>
      </c>
      <c r="L56" s="51">
        <f>+I56</f>
        <v>1772.6659999999999</v>
      </c>
      <c r="M56" s="50"/>
      <c r="N56" s="47">
        <f t="shared" si="1"/>
        <v>7090.6639999999998</v>
      </c>
    </row>
    <row r="57" spans="1:14" ht="16.149999999999999" thickBot="1">
      <c r="A57" s="17">
        <v>5684</v>
      </c>
      <c r="B57" s="11" t="s">
        <v>69</v>
      </c>
      <c r="C57" s="73"/>
      <c r="D57" s="73">
        <v>1</v>
      </c>
      <c r="E57" s="89">
        <v>5643</v>
      </c>
      <c r="F57" s="104">
        <f>+E57*D57</f>
        <v>5643</v>
      </c>
      <c r="G57" s="101">
        <f t="shared" si="10"/>
        <v>5626.0709999999999</v>
      </c>
      <c r="H57" s="18"/>
      <c r="I57" s="53">
        <f t="shared" si="11"/>
        <v>1406.51775</v>
      </c>
      <c r="J57" s="50">
        <f t="shared" ref="J57:J61" si="12">+I57</f>
        <v>1406.51775</v>
      </c>
      <c r="K57" s="50">
        <f t="shared" ref="K57:K61" si="13">+I57</f>
        <v>1406.51775</v>
      </c>
      <c r="L57" s="51">
        <f t="shared" ref="L57:L61" si="14">+I57</f>
        <v>1406.51775</v>
      </c>
      <c r="M57" s="50"/>
      <c r="N57" s="47">
        <f t="shared" si="1"/>
        <v>5626.0709999999999</v>
      </c>
    </row>
    <row r="58" spans="1:14" ht="16.149999999999999" thickBot="1">
      <c r="A58" s="17">
        <v>5685</v>
      </c>
      <c r="B58" s="11" t="s">
        <v>70</v>
      </c>
      <c r="C58" s="73"/>
      <c r="D58" s="73">
        <v>1</v>
      </c>
      <c r="E58" s="89">
        <v>6484</v>
      </c>
      <c r="F58" s="104">
        <f>+E58*D58</f>
        <v>6484</v>
      </c>
      <c r="G58" s="101">
        <f t="shared" si="10"/>
        <v>6464.5479999999998</v>
      </c>
      <c r="H58" s="18"/>
      <c r="I58" s="53">
        <f t="shared" si="11"/>
        <v>1616.1369999999999</v>
      </c>
      <c r="J58" s="50">
        <f t="shared" si="12"/>
        <v>1616.1369999999999</v>
      </c>
      <c r="K58" s="50">
        <f t="shared" si="13"/>
        <v>1616.1369999999999</v>
      </c>
      <c r="L58" s="51">
        <f t="shared" si="14"/>
        <v>1616.1369999999999</v>
      </c>
      <c r="M58" s="50"/>
      <c r="N58" s="47">
        <f t="shared" si="1"/>
        <v>6464.5479999999998</v>
      </c>
    </row>
    <row r="59" spans="1:14" ht="16.149999999999999" thickBot="1">
      <c r="A59" s="17">
        <v>5694</v>
      </c>
      <c r="B59" s="11" t="s">
        <v>71</v>
      </c>
      <c r="C59" s="73"/>
      <c r="D59" s="73">
        <v>1</v>
      </c>
      <c r="E59" s="89">
        <v>120949</v>
      </c>
      <c r="F59" s="104">
        <f t="shared" ref="F59:F62" si="15">+E59*D59</f>
        <v>120949</v>
      </c>
      <c r="G59" s="101">
        <f t="shared" si="10"/>
        <v>120586.15300000001</v>
      </c>
      <c r="H59" s="18"/>
      <c r="I59" s="53">
        <f t="shared" si="11"/>
        <v>30146.538250000001</v>
      </c>
      <c r="J59" s="50">
        <f t="shared" si="12"/>
        <v>30146.538250000001</v>
      </c>
      <c r="K59" s="50">
        <f t="shared" si="13"/>
        <v>30146.538250000001</v>
      </c>
      <c r="L59" s="51">
        <f t="shared" si="14"/>
        <v>30146.538250000001</v>
      </c>
      <c r="M59" s="50"/>
      <c r="N59" s="47">
        <f t="shared" si="1"/>
        <v>120586.15300000001</v>
      </c>
    </row>
    <row r="60" spans="1:14" ht="16.149999999999999" thickBot="1">
      <c r="A60" s="17">
        <v>5696</v>
      </c>
      <c r="B60" s="11" t="s">
        <v>72</v>
      </c>
      <c r="C60" s="73"/>
      <c r="D60" s="73">
        <v>1</v>
      </c>
      <c r="E60" s="89">
        <v>35000</v>
      </c>
      <c r="F60" s="104">
        <f t="shared" si="15"/>
        <v>35000</v>
      </c>
      <c r="G60" s="101">
        <f t="shared" si="10"/>
        <v>34895</v>
      </c>
      <c r="H60" s="18"/>
      <c r="I60" s="53">
        <f t="shared" si="11"/>
        <v>8723.75</v>
      </c>
      <c r="J60" s="50">
        <f t="shared" si="12"/>
        <v>8723.75</v>
      </c>
      <c r="K60" s="50">
        <f t="shared" si="13"/>
        <v>8723.75</v>
      </c>
      <c r="L60" s="51">
        <f t="shared" si="14"/>
        <v>8723.75</v>
      </c>
      <c r="M60" s="50"/>
      <c r="N60" s="47">
        <f t="shared" si="1"/>
        <v>34895</v>
      </c>
    </row>
    <row r="61" spans="1:14" ht="16.149999999999999" thickBot="1">
      <c r="A61" s="17">
        <v>5698</v>
      </c>
      <c r="B61" s="11" t="s">
        <v>73</v>
      </c>
      <c r="C61" s="73"/>
      <c r="D61" s="73">
        <v>1</v>
      </c>
      <c r="E61" s="89">
        <v>3273</v>
      </c>
      <c r="F61" s="104">
        <f t="shared" si="15"/>
        <v>3273</v>
      </c>
      <c r="G61" s="101">
        <f t="shared" si="10"/>
        <v>3263.181</v>
      </c>
      <c r="H61" s="18"/>
      <c r="I61" s="53">
        <f t="shared" si="11"/>
        <v>815.79525000000001</v>
      </c>
      <c r="J61" s="50">
        <f t="shared" si="12"/>
        <v>815.79525000000001</v>
      </c>
      <c r="K61" s="50">
        <f t="shared" si="13"/>
        <v>815.79525000000001</v>
      </c>
      <c r="L61" s="51">
        <f t="shared" si="14"/>
        <v>815.79525000000001</v>
      </c>
      <c r="M61" s="50"/>
      <c r="N61" s="47">
        <f t="shared" si="1"/>
        <v>3263.181</v>
      </c>
    </row>
    <row r="62" spans="1:14" ht="16.149999999999999" thickBot="1">
      <c r="A62" s="12"/>
      <c r="B62" s="11" t="s">
        <v>74</v>
      </c>
      <c r="C62" s="73"/>
      <c r="D62" s="73">
        <f>3+3+3</f>
        <v>9</v>
      </c>
      <c r="E62" s="106">
        <v>44</v>
      </c>
      <c r="F62" s="104">
        <f t="shared" si="15"/>
        <v>396</v>
      </c>
      <c r="G62" s="101">
        <f t="shared" si="10"/>
        <v>394.81200000000001</v>
      </c>
      <c r="H62" s="18"/>
      <c r="I62" s="44"/>
      <c r="J62" s="45"/>
      <c r="K62" s="45"/>
      <c r="L62" s="46"/>
      <c r="M62" s="47">
        <f>G62</f>
        <v>394.81200000000001</v>
      </c>
      <c r="N62" s="47">
        <f t="shared" si="1"/>
        <v>394.81200000000001</v>
      </c>
    </row>
    <row r="63" spans="1:14" ht="16.149999999999999" thickBot="1">
      <c r="A63" s="8">
        <v>5023</v>
      </c>
      <c r="B63" s="9" t="s">
        <v>75</v>
      </c>
      <c r="C63" s="75"/>
      <c r="D63" s="75"/>
      <c r="E63" s="86"/>
      <c r="F63" s="103">
        <f>SUM(F64:F78)</f>
        <v>150767</v>
      </c>
      <c r="G63" s="103">
        <f>SUM(G64:G78)</f>
        <v>150314.69899999999</v>
      </c>
      <c r="H63" s="18"/>
      <c r="I63" s="44"/>
      <c r="J63" s="45"/>
      <c r="K63" s="45"/>
      <c r="L63" s="46"/>
      <c r="M63" s="45"/>
      <c r="N63" s="47">
        <f t="shared" si="1"/>
        <v>0</v>
      </c>
    </row>
    <row r="64" spans="1:14" ht="16.149999999999999" thickBot="1">
      <c r="A64" s="17">
        <v>5905</v>
      </c>
      <c r="B64" s="11" t="s">
        <v>76</v>
      </c>
      <c r="C64" s="73" t="s">
        <v>77</v>
      </c>
      <c r="D64" s="73">
        <v>1</v>
      </c>
      <c r="E64" s="89">
        <v>5036</v>
      </c>
      <c r="F64" s="104">
        <f>+E64*D64</f>
        <v>5036</v>
      </c>
      <c r="G64" s="101">
        <f t="shared" ref="G64:G78" si="16">F64*$C$125</f>
        <v>5020.8919999999998</v>
      </c>
      <c r="H64" s="18"/>
      <c r="I64" s="53">
        <f>+G64/4</f>
        <v>1255.223</v>
      </c>
      <c r="J64" s="50">
        <f>+I64</f>
        <v>1255.223</v>
      </c>
      <c r="K64" s="50">
        <f>+I64</f>
        <v>1255.223</v>
      </c>
      <c r="L64" s="51">
        <f>+I64</f>
        <v>1255.223</v>
      </c>
      <c r="M64" s="50"/>
      <c r="N64" s="47">
        <f t="shared" si="1"/>
        <v>5020.8919999999998</v>
      </c>
    </row>
    <row r="65" spans="1:14" ht="31.9" thickBot="1">
      <c r="A65" s="17">
        <v>5905</v>
      </c>
      <c r="B65" s="11" t="s">
        <v>78</v>
      </c>
      <c r="C65" s="73" t="s">
        <v>77</v>
      </c>
      <c r="D65" s="73">
        <v>3</v>
      </c>
      <c r="E65" s="89">
        <v>1809</v>
      </c>
      <c r="F65" s="104">
        <f>+E65*D65</f>
        <v>5427</v>
      </c>
      <c r="G65" s="101">
        <f t="shared" si="16"/>
        <v>5410.7190000000001</v>
      </c>
      <c r="H65" s="18"/>
      <c r="I65" s="44"/>
      <c r="J65" s="47">
        <f>+G65</f>
        <v>5410.7190000000001</v>
      </c>
      <c r="K65" s="45"/>
      <c r="L65" s="46"/>
      <c r="M65" s="45"/>
      <c r="N65" s="47">
        <f t="shared" si="1"/>
        <v>5410.7190000000001</v>
      </c>
    </row>
    <row r="66" spans="1:14" ht="31.9" thickBot="1">
      <c r="A66" s="17">
        <v>5905</v>
      </c>
      <c r="B66" s="11" t="s">
        <v>79</v>
      </c>
      <c r="C66" s="73" t="s">
        <v>77</v>
      </c>
      <c r="D66" s="73">
        <v>1</v>
      </c>
      <c r="E66" s="89">
        <v>1882</v>
      </c>
      <c r="F66" s="104">
        <f>+E66*D66</f>
        <v>1882</v>
      </c>
      <c r="G66" s="101">
        <f t="shared" si="16"/>
        <v>1876.354</v>
      </c>
      <c r="H66" s="18"/>
      <c r="I66" s="44"/>
      <c r="J66" s="47">
        <f>+G66</f>
        <v>1876.354</v>
      </c>
      <c r="K66" s="45"/>
      <c r="L66" s="46"/>
      <c r="M66" s="45"/>
      <c r="N66" s="47">
        <f t="shared" si="1"/>
        <v>1876.354</v>
      </c>
    </row>
    <row r="67" spans="1:14" ht="31.9" thickBot="1">
      <c r="A67" s="17">
        <v>5905</v>
      </c>
      <c r="B67" s="11" t="s">
        <v>80</v>
      </c>
      <c r="C67" s="73" t="s">
        <v>77</v>
      </c>
      <c r="D67" s="73">
        <v>1</v>
      </c>
      <c r="E67" s="89">
        <v>1882</v>
      </c>
      <c r="F67" s="104">
        <f t="shared" ref="F67:F78" si="17">+E67*D67</f>
        <v>1882</v>
      </c>
      <c r="G67" s="101">
        <f t="shared" si="16"/>
        <v>1876.354</v>
      </c>
      <c r="H67" s="18"/>
      <c r="I67" s="49">
        <f>+G67</f>
        <v>1876.354</v>
      </c>
      <c r="J67" s="45"/>
      <c r="K67" s="45"/>
      <c r="L67" s="46"/>
      <c r="M67" s="45"/>
      <c r="N67" s="47">
        <f t="shared" si="1"/>
        <v>1876.354</v>
      </c>
    </row>
    <row r="68" spans="1:14" ht="31.9" thickBot="1">
      <c r="A68" s="17">
        <v>5905</v>
      </c>
      <c r="B68" s="11" t="s">
        <v>81</v>
      </c>
      <c r="C68" s="73" t="s">
        <v>77</v>
      </c>
      <c r="D68" s="73">
        <v>1</v>
      </c>
      <c r="E68" s="89">
        <v>1882</v>
      </c>
      <c r="F68" s="104">
        <f t="shared" si="17"/>
        <v>1882</v>
      </c>
      <c r="G68" s="101">
        <f t="shared" si="16"/>
        <v>1876.354</v>
      </c>
      <c r="H68" s="18"/>
      <c r="I68" s="49">
        <f>+G68</f>
        <v>1876.354</v>
      </c>
      <c r="J68" s="45"/>
      <c r="K68" s="45"/>
      <c r="L68" s="46"/>
      <c r="M68" s="45"/>
      <c r="N68" s="47">
        <f t="shared" si="1"/>
        <v>1876.354</v>
      </c>
    </row>
    <row r="69" spans="1:14" ht="31.9" thickBot="1">
      <c r="A69" s="17">
        <v>5905</v>
      </c>
      <c r="B69" s="11" t="s">
        <v>82</v>
      </c>
      <c r="C69" s="73" t="s">
        <v>83</v>
      </c>
      <c r="D69" s="73">
        <v>3</v>
      </c>
      <c r="E69" s="89">
        <v>4645</v>
      </c>
      <c r="F69" s="104">
        <f t="shared" si="17"/>
        <v>13935</v>
      </c>
      <c r="G69" s="101">
        <f t="shared" si="16"/>
        <v>13893.195</v>
      </c>
      <c r="H69" s="18"/>
      <c r="I69" s="44"/>
      <c r="J69" s="45"/>
      <c r="K69" s="47">
        <f>+G69</f>
        <v>13893.195</v>
      </c>
      <c r="L69" s="46"/>
      <c r="M69" s="47"/>
      <c r="N69" s="47">
        <f t="shared" si="1"/>
        <v>13893.195</v>
      </c>
    </row>
    <row r="70" spans="1:14" ht="16.149999999999999" thickBot="1">
      <c r="A70" s="17">
        <v>5905</v>
      </c>
      <c r="B70" s="11" t="s">
        <v>84</v>
      </c>
      <c r="C70" s="73" t="s">
        <v>83</v>
      </c>
      <c r="D70" s="73">
        <v>4</v>
      </c>
      <c r="E70" s="89">
        <v>3364</v>
      </c>
      <c r="F70" s="104">
        <f t="shared" si="17"/>
        <v>13456</v>
      </c>
      <c r="G70" s="101">
        <f t="shared" si="16"/>
        <v>13415.632</v>
      </c>
      <c r="H70" s="18"/>
      <c r="I70" s="44"/>
      <c r="J70" s="45"/>
      <c r="K70" s="47">
        <f>+G70</f>
        <v>13415.632</v>
      </c>
      <c r="L70" s="46"/>
      <c r="M70" s="47"/>
      <c r="N70" s="47">
        <f t="shared" si="1"/>
        <v>13415.632</v>
      </c>
    </row>
    <row r="71" spans="1:14" ht="63.4" thickBot="1">
      <c r="A71" s="17">
        <v>5905</v>
      </c>
      <c r="B71" s="11" t="s">
        <v>85</v>
      </c>
      <c r="C71" s="73" t="s">
        <v>83</v>
      </c>
      <c r="D71" s="73">
        <f>3*3</f>
        <v>9</v>
      </c>
      <c r="E71" s="89">
        <v>2173</v>
      </c>
      <c r="F71" s="104">
        <f t="shared" si="17"/>
        <v>19557</v>
      </c>
      <c r="G71" s="101">
        <f t="shared" si="16"/>
        <v>19498.329000000002</v>
      </c>
      <c r="H71" s="18"/>
      <c r="I71" s="44"/>
      <c r="J71" s="45"/>
      <c r="K71" s="47">
        <f>+G71</f>
        <v>19498.329000000002</v>
      </c>
      <c r="L71" s="46"/>
      <c r="M71" s="47"/>
      <c r="N71" s="47">
        <f t="shared" si="1"/>
        <v>19498.329000000002</v>
      </c>
    </row>
    <row r="72" spans="1:14" ht="31.9" thickBot="1">
      <c r="A72" s="17">
        <v>5905</v>
      </c>
      <c r="B72" s="11" t="s">
        <v>86</v>
      </c>
      <c r="C72" s="73" t="s">
        <v>83</v>
      </c>
      <c r="D72" s="73">
        <f>3*3</f>
        <v>9</v>
      </c>
      <c r="E72" s="89">
        <v>1805</v>
      </c>
      <c r="F72" s="104">
        <f t="shared" si="17"/>
        <v>16245</v>
      </c>
      <c r="G72" s="101">
        <f t="shared" si="16"/>
        <v>16196.264999999999</v>
      </c>
      <c r="H72" s="18"/>
      <c r="I72" s="44"/>
      <c r="J72" s="45"/>
      <c r="K72" s="45"/>
      <c r="L72" s="52">
        <f>+G72</f>
        <v>16196.264999999999</v>
      </c>
      <c r="M72" s="45"/>
      <c r="N72" s="47">
        <f t="shared" si="1"/>
        <v>16196.264999999999</v>
      </c>
    </row>
    <row r="73" spans="1:14" ht="31.9" thickBot="1">
      <c r="A73" s="17">
        <v>5905</v>
      </c>
      <c r="B73" s="11" t="s">
        <v>87</v>
      </c>
      <c r="C73" s="73" t="s">
        <v>83</v>
      </c>
      <c r="D73" s="73">
        <f>3</f>
        <v>3</v>
      </c>
      <c r="E73" s="89">
        <v>2173</v>
      </c>
      <c r="F73" s="104">
        <f t="shared" si="17"/>
        <v>6519</v>
      </c>
      <c r="G73" s="101">
        <f t="shared" si="16"/>
        <v>6499.4430000000002</v>
      </c>
      <c r="H73" s="18"/>
      <c r="I73" s="44"/>
      <c r="J73" s="45"/>
      <c r="K73" s="45"/>
      <c r="L73" s="52">
        <f>+G73</f>
        <v>6499.4430000000002</v>
      </c>
      <c r="M73" s="45"/>
      <c r="N73" s="47">
        <f t="shared" si="1"/>
        <v>6499.4430000000002</v>
      </c>
    </row>
    <row r="74" spans="1:14" ht="16.149999999999999" thickBot="1">
      <c r="A74" s="17">
        <v>5905</v>
      </c>
      <c r="B74" s="11" t="s">
        <v>88</v>
      </c>
      <c r="C74" s="73" t="s">
        <v>83</v>
      </c>
      <c r="D74" s="73">
        <v>3</v>
      </c>
      <c r="E74" s="89">
        <v>1882</v>
      </c>
      <c r="F74" s="104">
        <f t="shared" si="17"/>
        <v>5646</v>
      </c>
      <c r="G74" s="101">
        <f t="shared" si="16"/>
        <v>5629.0619999999999</v>
      </c>
      <c r="H74" s="18"/>
      <c r="I74" s="44"/>
      <c r="J74" s="45"/>
      <c r="K74" s="47">
        <f>+G74</f>
        <v>5629.0619999999999</v>
      </c>
      <c r="L74" s="46"/>
      <c r="M74" s="47"/>
      <c r="N74" s="47">
        <f t="shared" si="1"/>
        <v>5629.0619999999999</v>
      </c>
    </row>
    <row r="75" spans="1:14" ht="16.149999999999999" thickBot="1">
      <c r="A75" s="17">
        <v>5905</v>
      </c>
      <c r="B75" s="11" t="s">
        <v>89</v>
      </c>
      <c r="C75" s="73" t="s">
        <v>90</v>
      </c>
      <c r="D75" s="73">
        <v>20</v>
      </c>
      <c r="E75" s="89">
        <v>2025</v>
      </c>
      <c r="F75" s="104">
        <f t="shared" si="17"/>
        <v>40500</v>
      </c>
      <c r="G75" s="101">
        <f t="shared" si="16"/>
        <v>40378.5</v>
      </c>
      <c r="H75" s="18"/>
      <c r="I75" s="49">
        <f>+G75</f>
        <v>40378.5</v>
      </c>
      <c r="J75" s="45"/>
      <c r="K75" s="45"/>
      <c r="L75" s="46"/>
      <c r="M75" s="45"/>
      <c r="N75" s="47">
        <f t="shared" si="1"/>
        <v>40378.5</v>
      </c>
    </row>
    <row r="76" spans="1:14" ht="16.149999999999999" thickBot="1">
      <c r="A76" s="17">
        <v>5905</v>
      </c>
      <c r="B76" s="11" t="s">
        <v>91</v>
      </c>
      <c r="C76" s="73" t="s">
        <v>83</v>
      </c>
      <c r="D76" s="73">
        <v>6</v>
      </c>
      <c r="E76" s="89">
        <v>2250</v>
      </c>
      <c r="F76" s="104">
        <f t="shared" si="17"/>
        <v>13500</v>
      </c>
      <c r="G76" s="101">
        <f t="shared" si="16"/>
        <v>13459.5</v>
      </c>
      <c r="H76" s="18"/>
      <c r="I76" s="49">
        <f>+G76</f>
        <v>13459.5</v>
      </c>
      <c r="J76" s="45"/>
      <c r="K76" s="45"/>
      <c r="L76" s="46"/>
      <c r="M76" s="45"/>
      <c r="N76" s="47">
        <f t="shared" si="1"/>
        <v>13459.5</v>
      </c>
    </row>
    <row r="77" spans="1:14" ht="16.149999999999999" thickBot="1">
      <c r="A77" s="17">
        <v>5905</v>
      </c>
      <c r="B77" s="11" t="s">
        <v>92</v>
      </c>
      <c r="C77" s="73" t="s">
        <v>77</v>
      </c>
      <c r="D77" s="73">
        <v>1</v>
      </c>
      <c r="E77" s="89">
        <v>5036</v>
      </c>
      <c r="F77" s="104">
        <f t="shared" si="17"/>
        <v>5036</v>
      </c>
      <c r="G77" s="101">
        <f t="shared" si="16"/>
        <v>5020.8919999999998</v>
      </c>
      <c r="H77" s="18"/>
      <c r="I77" s="53">
        <f>+G77/4</f>
        <v>1255.223</v>
      </c>
      <c r="J77" s="50">
        <f>+I77</f>
        <v>1255.223</v>
      </c>
      <c r="K77" s="50">
        <f>+I77</f>
        <v>1255.223</v>
      </c>
      <c r="L77" s="51">
        <f>+I77</f>
        <v>1255.223</v>
      </c>
      <c r="M77" s="50"/>
      <c r="N77" s="47">
        <f t="shared" si="1"/>
        <v>5020.8919999999998</v>
      </c>
    </row>
    <row r="78" spans="1:14" ht="16.149999999999999" thickBot="1">
      <c r="A78" s="17"/>
      <c r="B78" s="11" t="s">
        <v>93</v>
      </c>
      <c r="C78" s="73" t="s">
        <v>94</v>
      </c>
      <c r="D78" s="73">
        <v>6</v>
      </c>
      <c r="E78" s="106">
        <v>44</v>
      </c>
      <c r="F78" s="104">
        <f t="shared" si="17"/>
        <v>264</v>
      </c>
      <c r="G78" s="101">
        <f t="shared" si="16"/>
        <v>263.20800000000003</v>
      </c>
      <c r="H78" s="18"/>
      <c r="I78" s="53"/>
      <c r="J78" s="50"/>
      <c r="K78" s="50"/>
      <c r="L78" s="51"/>
      <c r="M78" s="50">
        <f>+G78</f>
        <v>263.20800000000003</v>
      </c>
      <c r="N78" s="47">
        <f t="shared" si="1"/>
        <v>263.20800000000003</v>
      </c>
    </row>
    <row r="79" spans="1:14" ht="16.149999999999999" thickBot="1">
      <c r="A79" s="8">
        <v>5024</v>
      </c>
      <c r="B79" s="9" t="s">
        <v>95</v>
      </c>
      <c r="C79" s="75"/>
      <c r="D79" s="75"/>
      <c r="E79" s="105"/>
      <c r="F79" s="103">
        <f>SUM(F80:F87)</f>
        <v>368768</v>
      </c>
      <c r="G79" s="103">
        <f>SUM(G80:G87)</f>
        <v>367661.696</v>
      </c>
      <c r="H79" s="18"/>
      <c r="I79" s="44"/>
      <c r="J79" s="45"/>
      <c r="K79" s="45"/>
      <c r="L79" s="46"/>
      <c r="M79" s="45"/>
      <c r="N79" s="47">
        <f t="shared" si="1"/>
        <v>0</v>
      </c>
    </row>
    <row r="80" spans="1:14" ht="16.149999999999999" thickBot="1">
      <c r="A80" s="17">
        <v>5924</v>
      </c>
      <c r="B80" s="11" t="s">
        <v>96</v>
      </c>
      <c r="C80" s="73" t="s">
        <v>77</v>
      </c>
      <c r="D80" s="76">
        <v>20</v>
      </c>
      <c r="E80" s="89">
        <v>1500</v>
      </c>
      <c r="F80" s="104">
        <f>+E80*D80</f>
        <v>30000</v>
      </c>
      <c r="G80" s="101">
        <f t="shared" ref="G80:G87" si="18">F80*$C$125</f>
        <v>29910</v>
      </c>
      <c r="H80" s="18"/>
      <c r="I80" s="49">
        <f>+G80</f>
        <v>29910</v>
      </c>
      <c r="J80" s="45"/>
      <c r="K80" s="45"/>
      <c r="L80" s="46"/>
      <c r="M80" s="45"/>
      <c r="N80" s="47">
        <f t="shared" ref="N80:N111" si="19">+SUM(I80:M80)</f>
        <v>29910</v>
      </c>
    </row>
    <row r="81" spans="1:14" ht="16.149999999999999" thickBot="1">
      <c r="A81" s="17">
        <v>5936</v>
      </c>
      <c r="B81" s="11" t="s">
        <v>97</v>
      </c>
      <c r="C81" s="73" t="s">
        <v>98</v>
      </c>
      <c r="D81" s="76">
        <v>3</v>
      </c>
      <c r="E81" s="89">
        <v>10000</v>
      </c>
      <c r="F81" s="104">
        <f>+E81*D81</f>
        <v>30000</v>
      </c>
      <c r="G81" s="101">
        <f t="shared" si="18"/>
        <v>29910</v>
      </c>
      <c r="H81" s="18"/>
      <c r="I81" s="44"/>
      <c r="J81" s="45"/>
      <c r="K81" s="47">
        <f t="shared" ref="K81:K86" si="20">+G81</f>
        <v>29910</v>
      </c>
      <c r="L81" s="46"/>
      <c r="M81" s="47"/>
      <c r="N81" s="47">
        <f t="shared" si="19"/>
        <v>29910</v>
      </c>
    </row>
    <row r="82" spans="1:14" ht="16.149999999999999" thickBot="1">
      <c r="A82" s="17">
        <v>5940</v>
      </c>
      <c r="B82" s="11" t="s">
        <v>99</v>
      </c>
      <c r="C82" s="73" t="s">
        <v>98</v>
      </c>
      <c r="D82" s="76">
        <v>1500</v>
      </c>
      <c r="E82" s="89">
        <v>100</v>
      </c>
      <c r="F82" s="104">
        <f t="shared" ref="F82:F85" si="21">+E82*D82</f>
        <v>150000</v>
      </c>
      <c r="G82" s="101">
        <f t="shared" si="18"/>
        <v>149550</v>
      </c>
      <c r="H82" s="18"/>
      <c r="I82" s="44"/>
      <c r="J82" s="45"/>
      <c r="K82" s="47">
        <f t="shared" si="20"/>
        <v>149550</v>
      </c>
      <c r="L82" s="46"/>
      <c r="M82" s="47"/>
      <c r="N82" s="47">
        <f t="shared" si="19"/>
        <v>149550</v>
      </c>
    </row>
    <row r="83" spans="1:14" ht="16.149999999999999" thickBot="1">
      <c r="A83" s="17">
        <v>5937</v>
      </c>
      <c r="B83" s="11" t="s">
        <v>100</v>
      </c>
      <c r="C83" s="73" t="s">
        <v>101</v>
      </c>
      <c r="D83" s="76">
        <v>360</v>
      </c>
      <c r="E83" s="89">
        <v>36</v>
      </c>
      <c r="F83" s="104">
        <f t="shared" si="21"/>
        <v>12960</v>
      </c>
      <c r="G83" s="101">
        <f t="shared" si="18"/>
        <v>12921.12</v>
      </c>
      <c r="H83" s="18"/>
      <c r="I83" s="44"/>
      <c r="J83" s="45"/>
      <c r="K83" s="47">
        <f t="shared" si="20"/>
        <v>12921.12</v>
      </c>
      <c r="L83" s="46"/>
      <c r="M83" s="47"/>
      <c r="N83" s="47">
        <f t="shared" si="19"/>
        <v>12921.12</v>
      </c>
    </row>
    <row r="84" spans="1:14" ht="16.149999999999999" thickBot="1">
      <c r="A84" s="17">
        <v>5934</v>
      </c>
      <c r="B84" s="11" t="s">
        <v>102</v>
      </c>
      <c r="C84" s="73" t="s">
        <v>101</v>
      </c>
      <c r="D84" s="76">
        <v>9000</v>
      </c>
      <c r="E84" s="89">
        <v>2</v>
      </c>
      <c r="F84" s="90">
        <f t="shared" si="21"/>
        <v>18000</v>
      </c>
      <c r="G84" s="101">
        <f t="shared" si="18"/>
        <v>17946</v>
      </c>
      <c r="H84" s="18"/>
      <c r="I84" s="44"/>
      <c r="J84" s="45"/>
      <c r="K84" s="47">
        <f t="shared" si="20"/>
        <v>17946</v>
      </c>
      <c r="L84" s="46"/>
      <c r="M84" s="47"/>
      <c r="N84" s="47">
        <f t="shared" si="19"/>
        <v>17946</v>
      </c>
    </row>
    <row r="85" spans="1:14" ht="31.9" thickBot="1">
      <c r="A85" s="17">
        <v>5940</v>
      </c>
      <c r="B85" s="11" t="s">
        <v>103</v>
      </c>
      <c r="C85" s="73" t="s">
        <v>104</v>
      </c>
      <c r="D85" s="76">
        <v>1500</v>
      </c>
      <c r="E85" s="89">
        <v>75</v>
      </c>
      <c r="F85" s="90">
        <f t="shared" si="21"/>
        <v>112500</v>
      </c>
      <c r="G85" s="101">
        <f t="shared" si="18"/>
        <v>112162.5</v>
      </c>
      <c r="H85" s="18"/>
      <c r="I85" s="44"/>
      <c r="J85" s="45"/>
      <c r="K85" s="47">
        <f t="shared" si="20"/>
        <v>112162.5</v>
      </c>
      <c r="L85" s="46"/>
      <c r="M85" s="47"/>
      <c r="N85" s="47">
        <f t="shared" si="19"/>
        <v>112162.5</v>
      </c>
    </row>
    <row r="86" spans="1:14" ht="16.149999999999999" thickBot="1">
      <c r="A86" s="17">
        <v>5940</v>
      </c>
      <c r="B86" s="11" t="s">
        <v>105</v>
      </c>
      <c r="C86" s="73" t="s">
        <v>98</v>
      </c>
      <c r="D86" s="76">
        <v>200</v>
      </c>
      <c r="E86" s="89">
        <v>75</v>
      </c>
      <c r="F86" s="90">
        <f>+E86*D86</f>
        <v>15000</v>
      </c>
      <c r="G86" s="101">
        <f t="shared" si="18"/>
        <v>14955</v>
      </c>
      <c r="H86" s="18"/>
      <c r="I86" s="44"/>
      <c r="J86" s="45"/>
      <c r="K86" s="47">
        <f t="shared" si="20"/>
        <v>14955</v>
      </c>
      <c r="L86" s="46"/>
      <c r="M86" s="47"/>
      <c r="N86" s="47">
        <f t="shared" si="19"/>
        <v>14955</v>
      </c>
    </row>
    <row r="87" spans="1:14" ht="16.149999999999999" thickBot="1">
      <c r="A87" s="32"/>
      <c r="B87" s="11" t="s">
        <v>106</v>
      </c>
      <c r="C87" s="73" t="s">
        <v>94</v>
      </c>
      <c r="D87" s="76">
        <f>7</f>
        <v>7</v>
      </c>
      <c r="E87" s="89">
        <v>44</v>
      </c>
      <c r="F87" s="90">
        <f t="shared" ref="F87" si="22">+E87*D87</f>
        <v>308</v>
      </c>
      <c r="G87" s="101">
        <f t="shared" si="18"/>
        <v>307.07600000000002</v>
      </c>
      <c r="H87" s="18"/>
      <c r="I87" s="44"/>
      <c r="J87" s="45"/>
      <c r="K87" s="45"/>
      <c r="L87" s="46"/>
      <c r="M87" s="47">
        <f>G87</f>
        <v>307.07600000000002</v>
      </c>
      <c r="N87" s="47">
        <f t="shared" si="19"/>
        <v>307.07600000000002</v>
      </c>
    </row>
    <row r="88" spans="1:14" ht="16.149999999999999" thickBot="1">
      <c r="A88" s="8">
        <v>5025</v>
      </c>
      <c r="B88" s="9" t="s">
        <v>107</v>
      </c>
      <c r="C88" s="75"/>
      <c r="D88" s="75"/>
      <c r="E88" s="86"/>
      <c r="F88" s="103">
        <f>SUM(F89:F95)</f>
        <v>111742</v>
      </c>
      <c r="G88" s="103">
        <f>SUM(G89:G95)</f>
        <v>111406.77399999999</v>
      </c>
      <c r="H88" s="18"/>
      <c r="I88" s="44"/>
      <c r="J88" s="45"/>
      <c r="K88" s="45"/>
      <c r="L88" s="46"/>
      <c r="M88" s="45">
        <f>+SUM(H88:K88)</f>
        <v>0</v>
      </c>
      <c r="N88" s="47">
        <f t="shared" si="19"/>
        <v>0</v>
      </c>
    </row>
    <row r="89" spans="1:14" ht="16.149999999999999" thickBot="1">
      <c r="A89" s="33">
        <v>6011</v>
      </c>
      <c r="B89" s="11" t="s">
        <v>108</v>
      </c>
      <c r="C89" s="73" t="s">
        <v>109</v>
      </c>
      <c r="D89" s="73">
        <v>2</v>
      </c>
      <c r="E89" s="89">
        <v>50560</v>
      </c>
      <c r="F89" s="90">
        <f t="shared" ref="F89:F95" si="23">+E89*D89</f>
        <v>101120</v>
      </c>
      <c r="G89" s="101">
        <f t="shared" ref="G89:G95" si="24">F89*$C$125</f>
        <v>100816.64</v>
      </c>
      <c r="H89" s="18"/>
      <c r="I89" s="44"/>
      <c r="J89" s="45"/>
      <c r="K89" s="45"/>
      <c r="L89" s="46"/>
      <c r="M89" s="47">
        <f t="shared" ref="M89:M95" si="25">G89</f>
        <v>100816.64</v>
      </c>
      <c r="N89" s="47">
        <f t="shared" si="19"/>
        <v>100816.64</v>
      </c>
    </row>
    <row r="90" spans="1:14" ht="16.149999999999999" thickBot="1">
      <c r="A90" s="33">
        <v>6009</v>
      </c>
      <c r="B90" s="11" t="s">
        <v>110</v>
      </c>
      <c r="C90" s="73" t="s">
        <v>77</v>
      </c>
      <c r="D90" s="73">
        <v>6</v>
      </c>
      <c r="E90" s="89">
        <v>1380</v>
      </c>
      <c r="F90" s="90">
        <f t="shared" si="23"/>
        <v>8280</v>
      </c>
      <c r="G90" s="101">
        <f t="shared" si="24"/>
        <v>8255.16</v>
      </c>
      <c r="H90" s="18"/>
      <c r="I90" s="44"/>
      <c r="J90" s="45"/>
      <c r="K90" s="45"/>
      <c r="L90" s="46"/>
      <c r="M90" s="47">
        <f t="shared" si="25"/>
        <v>8255.16</v>
      </c>
      <c r="N90" s="47">
        <f t="shared" si="19"/>
        <v>8255.16</v>
      </c>
    </row>
    <row r="91" spans="1:14" ht="16.149999999999999" thickBot="1">
      <c r="A91" s="33">
        <v>6009</v>
      </c>
      <c r="B91" s="11" t="s">
        <v>111</v>
      </c>
      <c r="C91" s="73" t="s">
        <v>77</v>
      </c>
      <c r="D91" s="73">
        <v>1</v>
      </c>
      <c r="E91" s="89">
        <v>273</v>
      </c>
      <c r="F91" s="90">
        <f t="shared" si="23"/>
        <v>273</v>
      </c>
      <c r="G91" s="101">
        <f t="shared" si="24"/>
        <v>272.18099999999998</v>
      </c>
      <c r="H91" s="18"/>
      <c r="I91" s="44"/>
      <c r="J91" s="45"/>
      <c r="K91" s="45"/>
      <c r="L91" s="46"/>
      <c r="M91" s="47">
        <f t="shared" si="25"/>
        <v>272.18099999999998</v>
      </c>
      <c r="N91" s="47">
        <f t="shared" si="19"/>
        <v>272.18099999999998</v>
      </c>
    </row>
    <row r="92" spans="1:14" ht="16.149999999999999" thickBot="1">
      <c r="A92" s="33">
        <v>5925</v>
      </c>
      <c r="B92" s="11" t="s">
        <v>112</v>
      </c>
      <c r="C92" s="73" t="s">
        <v>77</v>
      </c>
      <c r="D92" s="73">
        <v>1</v>
      </c>
      <c r="E92" s="89">
        <v>350</v>
      </c>
      <c r="F92" s="90">
        <f t="shared" si="23"/>
        <v>350</v>
      </c>
      <c r="G92" s="101">
        <f t="shared" si="24"/>
        <v>348.95</v>
      </c>
      <c r="H92" s="18"/>
      <c r="I92" s="44"/>
      <c r="J92" s="45"/>
      <c r="K92" s="45"/>
      <c r="L92" s="46"/>
      <c r="M92" s="47">
        <f t="shared" si="25"/>
        <v>348.95</v>
      </c>
      <c r="N92" s="47">
        <f t="shared" si="19"/>
        <v>348.95</v>
      </c>
    </row>
    <row r="93" spans="1:14" ht="16.149999999999999" thickBot="1">
      <c r="A93" s="33">
        <v>5924</v>
      </c>
      <c r="B93" s="11" t="s">
        <v>113</v>
      </c>
      <c r="C93" s="73" t="s">
        <v>77</v>
      </c>
      <c r="D93" s="73">
        <v>1</v>
      </c>
      <c r="E93" s="89">
        <v>682</v>
      </c>
      <c r="F93" s="90">
        <f t="shared" si="23"/>
        <v>682</v>
      </c>
      <c r="G93" s="101">
        <f t="shared" si="24"/>
        <v>679.95399999999995</v>
      </c>
      <c r="H93" s="18"/>
      <c r="I93" s="44"/>
      <c r="J93" s="45"/>
      <c r="K93" s="45"/>
      <c r="L93" s="46"/>
      <c r="M93" s="47">
        <f t="shared" si="25"/>
        <v>679.95399999999995</v>
      </c>
      <c r="N93" s="47">
        <f t="shared" si="19"/>
        <v>679.95399999999995</v>
      </c>
    </row>
    <row r="94" spans="1:14" ht="16.149999999999999" thickBot="1">
      <c r="A94" s="33">
        <v>5925</v>
      </c>
      <c r="B94" s="11" t="s">
        <v>114</v>
      </c>
      <c r="C94" s="73" t="s">
        <v>77</v>
      </c>
      <c r="D94" s="73">
        <v>1</v>
      </c>
      <c r="E94" s="89">
        <v>773</v>
      </c>
      <c r="F94" s="90">
        <f t="shared" si="23"/>
        <v>773</v>
      </c>
      <c r="G94" s="101">
        <f t="shared" si="24"/>
        <v>770.68100000000004</v>
      </c>
      <c r="H94" s="18"/>
      <c r="I94" s="44"/>
      <c r="J94" s="45"/>
      <c r="K94" s="45"/>
      <c r="L94" s="46"/>
      <c r="M94" s="47">
        <f t="shared" si="25"/>
        <v>770.68100000000004</v>
      </c>
      <c r="N94" s="47">
        <f t="shared" si="19"/>
        <v>770.68100000000004</v>
      </c>
    </row>
    <row r="95" spans="1:14" ht="16.149999999999999" thickBot="1">
      <c r="A95" s="10"/>
      <c r="B95" s="11" t="s">
        <v>115</v>
      </c>
      <c r="C95" s="73" t="s">
        <v>94</v>
      </c>
      <c r="D95" s="73">
        <f>6</f>
        <v>6</v>
      </c>
      <c r="E95" s="89">
        <v>44</v>
      </c>
      <c r="F95" s="90">
        <f t="shared" si="23"/>
        <v>264</v>
      </c>
      <c r="G95" s="101">
        <f t="shared" si="24"/>
        <v>263.20800000000003</v>
      </c>
      <c r="H95" s="18"/>
      <c r="I95" s="44"/>
      <c r="J95" s="45"/>
      <c r="K95" s="45"/>
      <c r="L95" s="46"/>
      <c r="M95" s="47">
        <f t="shared" si="25"/>
        <v>263.20800000000003</v>
      </c>
      <c r="N95" s="47">
        <f t="shared" si="19"/>
        <v>263.20800000000003</v>
      </c>
    </row>
    <row r="96" spans="1:14" ht="16.149999999999999" thickBot="1">
      <c r="A96" s="8">
        <v>5027</v>
      </c>
      <c r="B96" s="9" t="s">
        <v>116</v>
      </c>
      <c r="C96" s="75"/>
      <c r="D96" s="75"/>
      <c r="E96" s="86"/>
      <c r="F96" s="103">
        <f>SUM(F97:F101)</f>
        <v>114121</v>
      </c>
      <c r="G96" s="103">
        <f>SUM(G97:G101)</f>
        <v>113778.637</v>
      </c>
      <c r="H96" s="18"/>
      <c r="I96" s="44"/>
      <c r="J96" s="45"/>
      <c r="K96" s="45"/>
      <c r="L96" s="46"/>
      <c r="M96" s="45"/>
      <c r="N96" s="47">
        <f t="shared" si="19"/>
        <v>0</v>
      </c>
    </row>
    <row r="97" spans="1:16" ht="16.149999999999999" thickBot="1">
      <c r="A97" s="33">
        <v>6120</v>
      </c>
      <c r="B97" s="11" t="s">
        <v>117</v>
      </c>
      <c r="C97" s="73"/>
      <c r="D97" s="73">
        <v>1</v>
      </c>
      <c r="E97" s="106">
        <v>28699</v>
      </c>
      <c r="F97" s="90">
        <f>+E97*D97</f>
        <v>28699</v>
      </c>
      <c r="G97" s="101">
        <f t="shared" ref="G97:G101" si="26">F97*$C$125</f>
        <v>28612.902999999998</v>
      </c>
      <c r="H97" s="18"/>
      <c r="I97" s="44"/>
      <c r="J97" s="45"/>
      <c r="K97" s="45"/>
      <c r="L97" s="46"/>
      <c r="M97" s="47">
        <f>G97</f>
        <v>28612.902999999998</v>
      </c>
      <c r="N97" s="47">
        <f t="shared" si="19"/>
        <v>28612.902999999998</v>
      </c>
    </row>
    <row r="98" spans="1:16" ht="16.149999999999999" thickBot="1">
      <c r="A98" s="33">
        <v>6119</v>
      </c>
      <c r="B98" s="11" t="s">
        <v>118</v>
      </c>
      <c r="C98" s="73"/>
      <c r="D98" s="73">
        <v>1</v>
      </c>
      <c r="E98" s="89">
        <v>35298</v>
      </c>
      <c r="F98" s="90">
        <f>+E98*D98</f>
        <v>35298</v>
      </c>
      <c r="G98" s="101">
        <f t="shared" si="26"/>
        <v>35192.106</v>
      </c>
      <c r="H98" s="18"/>
      <c r="I98" s="44"/>
      <c r="J98" s="45"/>
      <c r="K98" s="45"/>
      <c r="L98" s="46"/>
      <c r="M98" s="47">
        <f>G98</f>
        <v>35192.106</v>
      </c>
      <c r="N98" s="47">
        <f t="shared" si="19"/>
        <v>35192.106</v>
      </c>
    </row>
    <row r="99" spans="1:16" ht="16.149999999999999" thickBot="1">
      <c r="A99" s="33">
        <v>6111</v>
      </c>
      <c r="B99" s="11" t="s">
        <v>119</v>
      </c>
      <c r="C99" s="73"/>
      <c r="D99" s="73">
        <v>1</v>
      </c>
      <c r="E99" s="106">
        <v>6550</v>
      </c>
      <c r="F99" s="90">
        <f>+E99*D99</f>
        <v>6550</v>
      </c>
      <c r="G99" s="101">
        <f t="shared" si="26"/>
        <v>6530.35</v>
      </c>
      <c r="H99" s="18"/>
      <c r="I99" s="44"/>
      <c r="J99" s="45"/>
      <c r="K99" s="45"/>
      <c r="L99" s="46"/>
      <c r="M99" s="47">
        <f>G99</f>
        <v>6530.35</v>
      </c>
      <c r="N99" s="47">
        <f t="shared" si="19"/>
        <v>6530.35</v>
      </c>
    </row>
    <row r="100" spans="1:16" ht="16.149999999999999" thickBot="1">
      <c r="A100" s="33">
        <v>6116</v>
      </c>
      <c r="B100" s="11" t="s">
        <v>120</v>
      </c>
      <c r="C100" s="73"/>
      <c r="D100" s="73">
        <v>1</v>
      </c>
      <c r="E100" s="106">
        <v>41078</v>
      </c>
      <c r="F100" s="90">
        <f>+E100*D100</f>
        <v>41078</v>
      </c>
      <c r="G100" s="101">
        <f t="shared" si="26"/>
        <v>40954.766000000003</v>
      </c>
      <c r="H100" s="18"/>
      <c r="I100" s="44"/>
      <c r="J100" s="45"/>
      <c r="K100" s="45"/>
      <c r="L100" s="46"/>
      <c r="M100" s="47">
        <f>G100</f>
        <v>40954.766000000003</v>
      </c>
      <c r="N100" s="47">
        <f t="shared" si="19"/>
        <v>40954.766000000003</v>
      </c>
    </row>
    <row r="101" spans="1:16" ht="16.149999999999999" thickBot="1">
      <c r="A101" s="33">
        <v>6150</v>
      </c>
      <c r="B101" s="11" t="s">
        <v>121</v>
      </c>
      <c r="C101" s="73"/>
      <c r="D101" s="73">
        <v>4</v>
      </c>
      <c r="E101" s="89">
        <v>624</v>
      </c>
      <c r="F101" s="89">
        <f>D101*E101</f>
        <v>2496</v>
      </c>
      <c r="G101" s="101">
        <f t="shared" si="26"/>
        <v>2488.5120000000002</v>
      </c>
      <c r="H101" s="18"/>
      <c r="I101" s="44"/>
      <c r="J101" s="45"/>
      <c r="K101" s="45"/>
      <c r="L101" s="46"/>
      <c r="M101" s="47">
        <f>G101</f>
        <v>2488.5120000000002</v>
      </c>
      <c r="N101" s="47">
        <f t="shared" si="19"/>
        <v>2488.5120000000002</v>
      </c>
    </row>
    <row r="102" spans="1:16" ht="16.149999999999999" thickBot="1">
      <c r="A102" s="8">
        <v>5028</v>
      </c>
      <c r="B102" s="9" t="s">
        <v>122</v>
      </c>
      <c r="C102" s="75"/>
      <c r="D102" s="75"/>
      <c r="E102" s="86"/>
      <c r="F102" s="103">
        <f>SUM(F103:F106)</f>
        <v>199344.5</v>
      </c>
      <c r="G102" s="103">
        <f>SUM(G103:G106)</f>
        <v>198746.46650000001</v>
      </c>
      <c r="H102" s="18"/>
      <c r="I102" s="44"/>
      <c r="J102" s="45"/>
      <c r="K102" s="45"/>
      <c r="L102" s="46"/>
      <c r="M102" s="45"/>
      <c r="N102" s="47">
        <f t="shared" si="19"/>
        <v>0</v>
      </c>
    </row>
    <row r="103" spans="1:16" ht="16.149999999999999" thickBot="1">
      <c r="A103" s="10"/>
      <c r="B103" s="11" t="s">
        <v>123</v>
      </c>
      <c r="C103" s="73"/>
      <c r="D103" s="73">
        <v>1</v>
      </c>
      <c r="E103" s="89">
        <v>91068</v>
      </c>
      <c r="F103" s="90">
        <f>+E103*D103</f>
        <v>91068</v>
      </c>
      <c r="G103" s="101">
        <f t="shared" ref="G103:G106" si="27">F103*$C$125</f>
        <v>90794.796000000002</v>
      </c>
      <c r="H103" s="18"/>
      <c r="I103" s="44"/>
      <c r="J103" s="45"/>
      <c r="K103" s="45"/>
      <c r="L103" s="46"/>
      <c r="M103" s="47">
        <f>G103</f>
        <v>90794.796000000002</v>
      </c>
      <c r="N103" s="47">
        <f t="shared" si="19"/>
        <v>90794.796000000002</v>
      </c>
    </row>
    <row r="104" spans="1:16" ht="16.149999999999999" thickBot="1">
      <c r="A104" s="10"/>
      <c r="B104" s="11" t="s">
        <v>124</v>
      </c>
      <c r="C104" s="73"/>
      <c r="D104" s="73">
        <v>1</v>
      </c>
      <c r="E104" s="89">
        <v>19000</v>
      </c>
      <c r="F104" s="90">
        <f>+E104*D104</f>
        <v>19000</v>
      </c>
      <c r="G104" s="101">
        <f t="shared" si="27"/>
        <v>18943</v>
      </c>
      <c r="H104" s="18"/>
      <c r="I104" s="44"/>
      <c r="J104" s="45"/>
      <c r="K104" s="45"/>
      <c r="L104" s="46"/>
      <c r="M104" s="47">
        <f>G104</f>
        <v>18943</v>
      </c>
      <c r="N104" s="47">
        <f t="shared" si="19"/>
        <v>18943</v>
      </c>
    </row>
    <row r="105" spans="1:16" ht="16.149999999999999" thickBot="1">
      <c r="A105" s="10"/>
      <c r="B105" s="11" t="s">
        <v>125</v>
      </c>
      <c r="C105" s="73"/>
      <c r="D105" s="73">
        <f>+D33+D15</f>
        <v>299.5</v>
      </c>
      <c r="E105" s="89">
        <v>295</v>
      </c>
      <c r="F105" s="90">
        <f>+E105*D105</f>
        <v>88352.5</v>
      </c>
      <c r="G105" s="101">
        <f t="shared" si="27"/>
        <v>88087.442500000005</v>
      </c>
      <c r="H105" s="18"/>
      <c r="I105" s="44"/>
      <c r="J105" s="45"/>
      <c r="K105" s="45"/>
      <c r="L105" s="46"/>
      <c r="M105" s="47">
        <f>G105</f>
        <v>88087.442500000005</v>
      </c>
      <c r="N105" s="47">
        <f t="shared" si="19"/>
        <v>88087.442500000005</v>
      </c>
      <c r="O105">
        <v>47861.292134831463</v>
      </c>
      <c r="P105" s="54">
        <f>F105-O105</f>
        <v>40491.207865168537</v>
      </c>
    </row>
    <row r="106" spans="1:16" ht="16.149999999999999" thickBot="1">
      <c r="A106" s="10"/>
      <c r="B106" s="11" t="s">
        <v>126</v>
      </c>
      <c r="C106" s="73" t="s">
        <v>94</v>
      </c>
      <c r="D106" s="73">
        <v>21</v>
      </c>
      <c r="E106" s="89">
        <v>44</v>
      </c>
      <c r="F106" s="90">
        <f>+E106*D106</f>
        <v>924</v>
      </c>
      <c r="G106" s="101">
        <f t="shared" si="27"/>
        <v>921.22799999999995</v>
      </c>
      <c r="H106" s="18"/>
      <c r="I106" s="44"/>
      <c r="J106" s="45"/>
      <c r="K106" s="45"/>
      <c r="L106" s="46"/>
      <c r="M106" s="47">
        <f>G106</f>
        <v>921.22799999999995</v>
      </c>
      <c r="N106" s="47">
        <f t="shared" si="19"/>
        <v>921.22799999999995</v>
      </c>
      <c r="O106">
        <v>924</v>
      </c>
      <c r="P106" s="54">
        <f>F106-O106</f>
        <v>0</v>
      </c>
    </row>
    <row r="107" spans="1:16" ht="16.149999999999999" thickBot="1">
      <c r="A107" s="8">
        <v>5050</v>
      </c>
      <c r="B107" s="9" t="s">
        <v>127</v>
      </c>
      <c r="C107" s="75"/>
      <c r="D107" s="75"/>
      <c r="E107" s="86"/>
      <c r="F107" s="103">
        <f>SUM(F108:F109)</f>
        <v>105819.5</v>
      </c>
      <c r="G107" s="103">
        <f>SUM(G108:G109)</f>
        <v>105502.04149999999</v>
      </c>
      <c r="H107" s="18"/>
      <c r="I107" s="44"/>
      <c r="J107" s="45"/>
      <c r="K107" s="45"/>
      <c r="L107" s="46"/>
      <c r="M107" s="45"/>
      <c r="N107" s="47">
        <f t="shared" si="19"/>
        <v>0</v>
      </c>
    </row>
    <row r="108" spans="1:16" ht="16.149999999999999" thickBot="1">
      <c r="A108" s="10"/>
      <c r="B108" s="11" t="s">
        <v>128</v>
      </c>
      <c r="C108" s="73"/>
      <c r="D108" s="73">
        <f>+D105</f>
        <v>299.5</v>
      </c>
      <c r="E108" s="89">
        <v>157</v>
      </c>
      <c r="F108" s="90">
        <f>+E108*D108</f>
        <v>47021.5</v>
      </c>
      <c r="G108" s="101">
        <f t="shared" ref="G108:G109" si="28">F108*$C$125</f>
        <v>46880.4355</v>
      </c>
      <c r="H108" s="18"/>
      <c r="I108" s="44"/>
      <c r="J108" s="45"/>
      <c r="K108" s="45"/>
      <c r="L108" s="46"/>
      <c r="M108" s="47">
        <f>G108</f>
        <v>46880.4355</v>
      </c>
      <c r="N108" s="47">
        <f t="shared" si="19"/>
        <v>46880.4355</v>
      </c>
      <c r="O108">
        <v>48570.348314606745</v>
      </c>
      <c r="P108" s="54">
        <f>F108-O108</f>
        <v>-1548.8483146067447</v>
      </c>
    </row>
    <row r="109" spans="1:16" ht="16.149999999999999" thickBot="1">
      <c r="A109" s="10"/>
      <c r="B109" s="11" t="s">
        <v>129</v>
      </c>
      <c r="C109" s="73"/>
      <c r="D109" s="73">
        <v>1</v>
      </c>
      <c r="E109" s="106">
        <v>58798</v>
      </c>
      <c r="F109" s="90">
        <f t="shared" ref="F109" si="29">+E109*D109</f>
        <v>58798</v>
      </c>
      <c r="G109" s="101">
        <f t="shared" si="28"/>
        <v>58621.606</v>
      </c>
      <c r="H109" s="18"/>
      <c r="I109" s="44"/>
      <c r="J109" s="45"/>
      <c r="K109" s="45"/>
      <c r="L109" s="46"/>
      <c r="M109" s="47">
        <f>G109</f>
        <v>58621.606</v>
      </c>
      <c r="N109" s="47">
        <f t="shared" si="19"/>
        <v>58621.606</v>
      </c>
      <c r="O109">
        <v>58798</v>
      </c>
      <c r="P109" s="54">
        <f>F109-O109</f>
        <v>0</v>
      </c>
    </row>
    <row r="110" spans="1:16" ht="16.149999999999999" thickBot="1">
      <c r="A110" s="14"/>
      <c r="B110" s="9" t="s">
        <v>130</v>
      </c>
      <c r="C110" s="74"/>
      <c r="D110" s="74"/>
      <c r="E110" s="86"/>
      <c r="F110" s="107">
        <f>SUM(F6,F9,F11,F34,F36,F55,F63,F79,F88,F96,F102,F107)</f>
        <v>4813181</v>
      </c>
      <c r="G110" s="107">
        <f>SUM(G6,G9,G11,G34,G36,G55,G63,G79,G88,G96,G102,G107)</f>
        <v>4798741.4570000013</v>
      </c>
      <c r="H110" s="18"/>
      <c r="I110" s="44"/>
      <c r="J110" s="45"/>
      <c r="K110" s="45"/>
      <c r="L110" s="46"/>
      <c r="M110" s="45"/>
      <c r="N110" s="47">
        <f t="shared" si="19"/>
        <v>0</v>
      </c>
    </row>
    <row r="111" spans="1:16" ht="16.149999999999999" thickBot="1">
      <c r="A111" s="34">
        <v>5029</v>
      </c>
      <c r="B111" s="35" t="s">
        <v>131</v>
      </c>
      <c r="C111" s="77"/>
      <c r="D111" s="77"/>
      <c r="E111" s="108"/>
      <c r="F111" s="109">
        <f>F110*0.07</f>
        <v>336922.67000000004</v>
      </c>
      <c r="G111" s="109">
        <f>G110*0.07</f>
        <v>335911.9019900001</v>
      </c>
      <c r="H111" s="18"/>
      <c r="I111" s="55"/>
      <c r="J111" s="45"/>
      <c r="K111" s="45"/>
      <c r="L111" s="46"/>
      <c r="M111" s="47">
        <f>G111</f>
        <v>335911.9019900001</v>
      </c>
      <c r="N111" s="47">
        <f t="shared" si="19"/>
        <v>335911.9019900001</v>
      </c>
    </row>
    <row r="112" spans="1:16" ht="16.149999999999999" thickBot="1">
      <c r="A112" s="26"/>
      <c r="B112" s="27" t="s">
        <v>132</v>
      </c>
      <c r="C112" s="78"/>
      <c r="D112" s="78"/>
      <c r="E112" s="106"/>
      <c r="F112" s="110">
        <f>SUM(F110:F111)</f>
        <v>5150103.67</v>
      </c>
      <c r="G112" s="110">
        <f>SUM(G110:G111)</f>
        <v>5134653.3589900015</v>
      </c>
      <c r="H112" s="28"/>
      <c r="I112" s="62">
        <f t="shared" ref="I112:N112" si="30">+SUM(I5:I111)</f>
        <v>172971.524</v>
      </c>
      <c r="J112" s="61">
        <f t="shared" si="30"/>
        <v>202427.78930000012</v>
      </c>
      <c r="K112" s="61">
        <f t="shared" si="30"/>
        <v>3001420.5443000016</v>
      </c>
      <c r="L112" s="61">
        <f t="shared" si="30"/>
        <v>167986.4243000001</v>
      </c>
      <c r="M112" s="61">
        <f t="shared" si="30"/>
        <v>1589846.7779900001</v>
      </c>
      <c r="N112" s="62">
        <f t="shared" si="30"/>
        <v>5134653.0598899983</v>
      </c>
    </row>
    <row r="113" spans="2:14">
      <c r="G113" s="111"/>
      <c r="N113" s="54"/>
    </row>
    <row r="114" spans="2:14">
      <c r="M114" s="56"/>
      <c r="N114" s="54"/>
    </row>
    <row r="115" spans="2:14">
      <c r="H115" s="54"/>
    </row>
    <row r="116" spans="2:14">
      <c r="F116" s="113"/>
      <c r="G116" s="114"/>
      <c r="H116" s="54"/>
      <c r="N116" s="54"/>
    </row>
    <row r="117" spans="2:14">
      <c r="F117" s="117"/>
      <c r="I117" s="54"/>
      <c r="J117" s="57"/>
    </row>
    <row r="118" spans="2:14">
      <c r="C118" s="83" t="s">
        <v>133</v>
      </c>
      <c r="F118" s="117"/>
      <c r="I118" s="36"/>
    </row>
    <row r="119" spans="2:14">
      <c r="B119" s="25" t="s">
        <v>134</v>
      </c>
      <c r="C119" s="79">
        <f>SUM(C120)</f>
        <v>5185999.892579902</v>
      </c>
      <c r="D119" s="79" t="s">
        <v>135</v>
      </c>
      <c r="F119" s="117"/>
    </row>
    <row r="120" spans="2:14">
      <c r="B120" s="25" t="s">
        <v>136</v>
      </c>
      <c r="C120" s="79">
        <f>SUM(C121:C122)</f>
        <v>5185999.892579902</v>
      </c>
      <c r="D120" s="112">
        <v>1.01</v>
      </c>
      <c r="F120" s="119"/>
    </row>
    <row r="121" spans="2:14">
      <c r="B121" s="25" t="s">
        <v>137</v>
      </c>
      <c r="C121" s="80">
        <f>G112</f>
        <v>5134653.3589900015</v>
      </c>
      <c r="D121" s="112">
        <v>1</v>
      </c>
      <c r="F121" s="119"/>
    </row>
    <row r="122" spans="2:14">
      <c r="B122" s="25" t="s">
        <v>138</v>
      </c>
      <c r="C122" s="79">
        <f>C121*1%</f>
        <v>51346.533589900013</v>
      </c>
      <c r="D122" s="112">
        <v>0.01</v>
      </c>
      <c r="F122" s="119"/>
    </row>
    <row r="125" spans="2:14">
      <c r="B125" s="115" t="s">
        <v>139</v>
      </c>
      <c r="C125" s="116">
        <v>0.997</v>
      </c>
      <c r="D125" s="81"/>
    </row>
    <row r="126" spans="2:14">
      <c r="B126" s="59"/>
      <c r="C126" s="81"/>
      <c r="D126" s="81"/>
    </row>
    <row r="127" spans="2:14">
      <c r="B127" s="59"/>
      <c r="C127" s="82"/>
      <c r="D127" s="81"/>
    </row>
    <row r="128" spans="2:14">
      <c r="B128" s="59"/>
      <c r="C128" s="81"/>
      <c r="D128" s="81"/>
    </row>
  </sheetData>
  <mergeCells count="7">
    <mergeCell ref="F120:F122"/>
    <mergeCell ref="A3:G3"/>
    <mergeCell ref="I3:N3"/>
    <mergeCell ref="A4:A5"/>
    <mergeCell ref="B4:B5"/>
    <mergeCell ref="C4:C5"/>
    <mergeCell ref="D4:D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AC654D752384996A8A2C3EAC36BC8" ma:contentTypeVersion="13" ma:contentTypeDescription="Create a new document." ma:contentTypeScope="" ma:versionID="67a7b9b386a9596f8a909b34c7f6ca3f">
  <xsd:schema xmlns:xsd="http://www.w3.org/2001/XMLSchema" xmlns:xs="http://www.w3.org/2001/XMLSchema" xmlns:p="http://schemas.microsoft.com/office/2006/metadata/properties" xmlns:ns2="48b0ec71-3dc6-42dc-8aaf-964cfe9da525" xmlns:ns3="910e928b-4406-48cc-86ab-c67cbac8571b" targetNamespace="http://schemas.microsoft.com/office/2006/metadata/properties" ma:root="true" ma:fieldsID="027127e8105bc113cf36625c51f01a11" ns2:_="" ns3:_="">
    <xsd:import namespace="48b0ec71-3dc6-42dc-8aaf-964cfe9da525"/>
    <xsd:import namespace="910e928b-4406-48cc-86ab-c67cbac8571b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0ec71-3dc6-42dc-8aaf-964cfe9da525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readOnly="fals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da50ec6-33d4-4d6f-9ca6-0bf15f7e63b0}" ma:internalName="TaxCatchAll" ma:readOnly="false" ma:showField="CatchAllData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da50ec6-33d4-4d6f-9ca6-0bf15f7e63b0}" ma:internalName="TaxCatchAllLabel" ma:readOnly="false" ma:showField="CatchAllDataLabel" ma:web="48b0ec71-3dc6-42dc-8aaf-964cfe9d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e928b-4406-48cc-86ab-c67cbac857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BeArchived xmlns="48b0ec71-3dc6-42dc-8aaf-964cfe9da525" xsi:nil="true"/>
    <TaxCatchAll xmlns="48b0ec71-3dc6-42dc-8aaf-964cfe9da525" xsi:nil="true"/>
    <TaxCatchAllLabel xmlns="48b0ec71-3dc6-42dc-8aaf-964cfe9da525" xsi:nil="true"/>
    <p5e7a70900b24fdf9bcfb9b5fc846c60 xmlns="48b0ec71-3dc6-42dc-8aaf-964cfe9da525">
      <Terms xmlns="http://schemas.microsoft.com/office/infopath/2007/PartnerControls"/>
    </p5e7a70900b24fdf9bcfb9b5fc846c60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DE812776-8639-441A-841B-CBE6E712EF99}"/>
</file>

<file path=customXml/itemProps2.xml><?xml version="1.0" encoding="utf-8"?>
<ds:datastoreItem xmlns:ds="http://schemas.openxmlformats.org/officeDocument/2006/customXml" ds:itemID="{1BFB8556-E2B5-44F1-9722-E2C1147CF100}"/>
</file>

<file path=customXml/itemProps3.xml><?xml version="1.0" encoding="utf-8"?>
<ds:datastoreItem xmlns:ds="http://schemas.openxmlformats.org/officeDocument/2006/customXml" ds:itemID="{5BADBA67-3D13-4024-9821-845D8AE468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FAO of the UN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Larkin (OSP)</dc:creator>
  <cp:keywords/>
  <dc:description/>
  <cp:lastModifiedBy>Dohogne Jean-Jacques - MD8</cp:lastModifiedBy>
  <cp:revision/>
  <dcterms:created xsi:type="dcterms:W3CDTF">2016-09-21T11:49:12Z</dcterms:created>
  <dcterms:modified xsi:type="dcterms:W3CDTF">2022-11-03T09:27:18Z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0x01010023EAC654D752384996A8A2C3EAC36BC8</vt:lpwstr>
  </property>
  <property fmtid="{D5CDD505-2E9C-101B-9397-08002B2CF9AE}" pid="3" name="MSIP_Label_dddc1db8-2f64-468c-a02a-c7d04ea19826_Enabled">
    <vt:lpwstr>true</vt:lpwstr>
  </property>
  <property fmtid="{D5CDD505-2E9C-101B-9397-08002B2CF9AE}" pid="4" name="MSIP_Label_dddc1db8-2f64-468c-a02a-c7d04ea19826_SetDate">
    <vt:lpwstr>2022-11-03T10:14:01Z</vt:lpwstr>
  </property>
  <property fmtid="{D5CDD505-2E9C-101B-9397-08002B2CF9AE}" pid="5" name="MSIP_Label_dddc1db8-2f64-468c-a02a-c7d04ea19826_Method">
    <vt:lpwstr>Privileged</vt:lpwstr>
  </property>
  <property fmtid="{D5CDD505-2E9C-101B-9397-08002B2CF9AE}" pid="6" name="MSIP_Label_dddc1db8-2f64-468c-a02a-c7d04ea19826_Name">
    <vt:lpwstr>Non classifié - Niet geclassificeerd</vt:lpwstr>
  </property>
  <property fmtid="{D5CDD505-2E9C-101B-9397-08002B2CF9AE}" pid="7" name="MSIP_Label_dddc1db8-2f64-468c-a02a-c7d04ea19826_SiteId">
    <vt:lpwstr>80153b30-e434-429b-b41c-0d47f9deec42</vt:lpwstr>
  </property>
  <property fmtid="{D5CDD505-2E9C-101B-9397-08002B2CF9AE}" pid="8" name="MSIP_Label_dddc1db8-2f64-468c-a02a-c7d04ea19826_ActionId">
    <vt:lpwstr>8e315f70-d3a9-40b9-9973-f5e2ea0a96dd</vt:lpwstr>
  </property>
  <property fmtid="{D5CDD505-2E9C-101B-9397-08002B2CF9AE}" pid="9" name="MSIP_Label_dddc1db8-2f64-468c-a02a-c7d04ea19826_ContentBits">
    <vt:lpwstr>0</vt:lpwstr>
  </property>
  <property fmtid="{D5CDD505-2E9C-101B-9397-08002B2CF9AE}" pid="10" name="ArchiveCode">
    <vt:lpwstr/>
  </property>
</Properties>
</file>