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/>
  <xr:revisionPtr revIDLastSave="5" documentId="8_{4BF3DD1B-A535-4E79-8EA6-709B05FAC253}" xr6:coauthVersionLast="47" xr6:coauthVersionMax="47" xr10:uidLastSave="{8AC6BC75-7520-41E1-87B1-0D27486B3E99}"/>
  <bookViews>
    <workbookView xWindow="-108" yWindow="-108" windowWidth="23256" windowHeight="12576" xr2:uid="{00000000-000D-0000-FFFF-FFFF00000000}"/>
  </bookViews>
  <sheets>
    <sheet name="Services to Beneficiaries" sheetId="5" r:id="rId1"/>
    <sheet name="MLI" sheetId="1" r:id="rId2"/>
    <sheet name="NER" sheetId="2" r:id="rId3"/>
    <sheet name="UGA" sheetId="3" r:id="rId4"/>
    <sheet name="RWA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5" l="1"/>
  <c r="G27" i="5"/>
  <c r="F27" i="5"/>
  <c r="E27" i="5"/>
  <c r="D27" i="5"/>
  <c r="H23" i="5"/>
  <c r="G23" i="5"/>
  <c r="F23" i="5"/>
  <c r="E23" i="5"/>
  <c r="D23" i="5"/>
  <c r="D25" i="5"/>
  <c r="H25" i="5"/>
  <c r="G25" i="5"/>
  <c r="F25" i="5"/>
  <c r="E25" i="5"/>
  <c r="E10" i="5"/>
  <c r="H21" i="5"/>
  <c r="D21" i="5"/>
  <c r="G21" i="5"/>
  <c r="F21" i="5"/>
  <c r="E21" i="5"/>
  <c r="H17" i="5"/>
  <c r="H16" i="5"/>
  <c r="H15" i="5"/>
  <c r="H14" i="5"/>
  <c r="H13" i="5"/>
  <c r="H12" i="5"/>
  <c r="H11" i="5"/>
  <c r="H10" i="5"/>
  <c r="H9" i="5"/>
  <c r="H8" i="5"/>
  <c r="H7" i="5"/>
  <c r="G17" i="5"/>
  <c r="G16" i="5"/>
  <c r="G15" i="5"/>
  <c r="G14" i="5"/>
  <c r="G13" i="5"/>
  <c r="G12" i="5"/>
  <c r="G11" i="5"/>
  <c r="G10" i="5"/>
  <c r="G9" i="5"/>
  <c r="G8" i="5"/>
  <c r="G7" i="5"/>
  <c r="F17" i="5"/>
  <c r="F16" i="5"/>
  <c r="F15" i="5"/>
  <c r="F14" i="5"/>
  <c r="F13" i="5"/>
  <c r="F12" i="5"/>
  <c r="F11" i="5"/>
  <c r="F10" i="5"/>
  <c r="D10" i="5" s="1"/>
  <c r="F9" i="5"/>
  <c r="F8" i="5"/>
  <c r="F7" i="5"/>
  <c r="C119" i="4"/>
  <c r="C118" i="4"/>
  <c r="C116" i="4"/>
  <c r="C115" i="4"/>
  <c r="C113" i="4"/>
  <c r="C112" i="4"/>
  <c r="C111" i="4"/>
  <c r="C110" i="4"/>
  <c r="C109" i="4"/>
  <c r="C107" i="4"/>
  <c r="C106" i="4"/>
  <c r="C105" i="4"/>
  <c r="C104" i="4"/>
  <c r="C102" i="4"/>
  <c r="C101" i="4"/>
  <c r="C100" i="4"/>
  <c r="C99" i="4"/>
  <c r="C97" i="4"/>
  <c r="C96" i="4"/>
  <c r="C95" i="4"/>
  <c r="C94" i="4"/>
  <c r="C90" i="4"/>
  <c r="C89" i="4"/>
  <c r="C87" i="4"/>
  <c r="C86" i="4"/>
  <c r="C84" i="4"/>
  <c r="C83" i="4"/>
  <c r="C79" i="4"/>
  <c r="C78" i="4"/>
  <c r="C73" i="4"/>
  <c r="C71" i="4"/>
  <c r="C67" i="4"/>
  <c r="C66" i="4"/>
  <c r="C64" i="4"/>
  <c r="C63" i="4"/>
  <c r="C62" i="4"/>
  <c r="C58" i="4"/>
  <c r="C57" i="4"/>
  <c r="C55" i="4"/>
  <c r="C54" i="4"/>
  <c r="C53" i="4"/>
  <c r="C47" i="4"/>
  <c r="C46" i="4"/>
  <c r="C45" i="4"/>
  <c r="C44" i="4"/>
  <c r="C43" i="4"/>
  <c r="C42" i="4"/>
  <c r="C41" i="4"/>
  <c r="C40" i="4"/>
  <c r="C39" i="4"/>
  <c r="C38" i="4"/>
  <c r="C37" i="4"/>
  <c r="C36" i="4"/>
  <c r="C34" i="4"/>
  <c r="C33" i="4"/>
  <c r="C32" i="4"/>
  <c r="C31" i="4"/>
  <c r="C30" i="4"/>
  <c r="C24" i="4"/>
  <c r="C150" i="3"/>
  <c r="C149" i="3"/>
  <c r="C148" i="3"/>
  <c r="C147" i="3"/>
  <c r="C146" i="3"/>
  <c r="C170" i="3"/>
  <c r="C169" i="3"/>
  <c r="C167" i="3"/>
  <c r="C166" i="3"/>
  <c r="C165" i="3"/>
  <c r="C164" i="3"/>
  <c r="C162" i="3"/>
  <c r="C161" i="3"/>
  <c r="C160" i="3"/>
  <c r="C159" i="3"/>
  <c r="C158" i="3"/>
  <c r="C157" i="3"/>
  <c r="C155" i="3"/>
  <c r="C154" i="3"/>
  <c r="C153" i="3"/>
  <c r="C152" i="3"/>
  <c r="C144" i="3"/>
  <c r="C143" i="3"/>
  <c r="C142" i="3"/>
  <c r="C141" i="3"/>
  <c r="C140" i="3"/>
  <c r="C139" i="3"/>
  <c r="C136" i="3"/>
  <c r="C135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8" i="3"/>
  <c r="C117" i="3"/>
  <c r="C115" i="3"/>
  <c r="C114" i="3"/>
  <c r="C113" i="3"/>
  <c r="C112" i="3"/>
  <c r="C111" i="3"/>
  <c r="C110" i="3"/>
  <c r="C109" i="3"/>
  <c r="C108" i="3"/>
  <c r="C107" i="3"/>
  <c r="C104" i="3"/>
  <c r="C102" i="3"/>
  <c r="C101" i="3"/>
  <c r="C100" i="3"/>
  <c r="C99" i="3"/>
  <c r="C97" i="3"/>
  <c r="C96" i="3"/>
  <c r="C93" i="3"/>
  <c r="C91" i="3"/>
  <c r="C90" i="3"/>
  <c r="C86" i="3"/>
  <c r="C85" i="3"/>
  <c r="C84" i="3"/>
  <c r="C83" i="3"/>
  <c r="C81" i="3"/>
  <c r="C80" i="3"/>
  <c r="C79" i="3"/>
  <c r="C75" i="3"/>
  <c r="C74" i="3"/>
  <c r="C73" i="3"/>
  <c r="C71" i="3"/>
  <c r="C70" i="3"/>
  <c r="C69" i="3"/>
  <c r="C66" i="3"/>
  <c r="C64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0" i="3"/>
  <c r="C39" i="3"/>
  <c r="C38" i="3"/>
  <c r="C37" i="3"/>
  <c r="C36" i="3"/>
  <c r="C35" i="3"/>
  <c r="C34" i="3"/>
  <c r="C30" i="3"/>
  <c r="C28" i="3"/>
  <c r="C26" i="3"/>
  <c r="C24" i="3"/>
  <c r="C142" i="2"/>
  <c r="C141" i="2"/>
  <c r="C139" i="2"/>
  <c r="C138" i="2"/>
  <c r="C137" i="2"/>
  <c r="C135" i="2"/>
  <c r="C134" i="2"/>
  <c r="C133" i="2"/>
  <c r="C132" i="2"/>
  <c r="C131" i="2"/>
  <c r="C130" i="2"/>
  <c r="C128" i="2"/>
  <c r="C127" i="2"/>
  <c r="C126" i="2"/>
  <c r="C125" i="2"/>
  <c r="C123" i="2"/>
  <c r="C122" i="2"/>
  <c r="C121" i="2"/>
  <c r="C120" i="2"/>
  <c r="C119" i="2"/>
  <c r="C116" i="2"/>
  <c r="C115" i="2"/>
  <c r="C114" i="2"/>
  <c r="C113" i="2"/>
  <c r="C109" i="2"/>
  <c r="C108" i="2"/>
  <c r="C106" i="2"/>
  <c r="C105" i="2"/>
  <c r="C103" i="2"/>
  <c r="C101" i="2"/>
  <c r="C98" i="2"/>
  <c r="C96" i="2"/>
  <c r="C94" i="2"/>
  <c r="C91" i="2"/>
  <c r="C89" i="2"/>
  <c r="C85" i="2"/>
  <c r="C83" i="2"/>
  <c r="C82" i="2"/>
  <c r="C81" i="2"/>
  <c r="C77" i="2"/>
  <c r="C76" i="2"/>
  <c r="C74" i="2"/>
  <c r="C73" i="2"/>
  <c r="C72" i="2"/>
  <c r="C69" i="2"/>
  <c r="C67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C40" i="2"/>
  <c r="C39" i="2"/>
  <c r="C35" i="2"/>
  <c r="C34" i="2"/>
  <c r="C33" i="2"/>
  <c r="C31" i="2"/>
  <c r="C30" i="2"/>
  <c r="C29" i="2"/>
  <c r="C28" i="2"/>
  <c r="C26" i="2"/>
  <c r="C25" i="2"/>
  <c r="C23" i="2"/>
  <c r="C160" i="1"/>
  <c r="C159" i="1"/>
  <c r="C157" i="1"/>
  <c r="C156" i="1"/>
  <c r="C155" i="1"/>
  <c r="C154" i="1"/>
  <c r="C152" i="1"/>
  <c r="C151" i="1"/>
  <c r="C150" i="1"/>
  <c r="C149" i="1"/>
  <c r="C148" i="1"/>
  <c r="C147" i="1"/>
  <c r="C145" i="1"/>
  <c r="C144" i="1"/>
  <c r="C143" i="1"/>
  <c r="C142" i="1"/>
  <c r="C140" i="1"/>
  <c r="C139" i="1"/>
  <c r="C138" i="1"/>
  <c r="C137" i="1"/>
  <c r="C136" i="1"/>
  <c r="C133" i="1"/>
  <c r="C132" i="1"/>
  <c r="C131" i="1"/>
  <c r="C130" i="1"/>
  <c r="C129" i="1"/>
  <c r="C125" i="1"/>
  <c r="C124" i="1"/>
  <c r="C122" i="1"/>
  <c r="C120" i="1"/>
  <c r="C119" i="1"/>
  <c r="C118" i="1"/>
  <c r="C117" i="1"/>
  <c r="C116" i="1"/>
  <c r="C115" i="1"/>
  <c r="C113" i="1"/>
  <c r="C110" i="1"/>
  <c r="C109" i="1"/>
  <c r="C108" i="1"/>
  <c r="C107" i="1"/>
  <c r="C105" i="1"/>
  <c r="C104" i="1"/>
  <c r="C103" i="1"/>
  <c r="C101" i="1"/>
  <c r="C98" i="1"/>
  <c r="C96" i="1"/>
  <c r="C95" i="1"/>
  <c r="C91" i="1"/>
  <c r="C89" i="1"/>
  <c r="C88" i="1"/>
  <c r="C87" i="1"/>
  <c r="C86" i="1"/>
  <c r="C85" i="1"/>
  <c r="C84" i="1"/>
  <c r="C83" i="1"/>
  <c r="C82" i="1"/>
  <c r="C81" i="1"/>
  <c r="C80" i="1"/>
  <c r="C79" i="1"/>
  <c r="C75" i="1"/>
  <c r="C74" i="1"/>
  <c r="C72" i="1"/>
  <c r="C71" i="1"/>
  <c r="C70" i="1"/>
  <c r="C67" i="1"/>
  <c r="C65" i="1"/>
  <c r="C64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6" i="1"/>
  <c r="C45" i="1"/>
  <c r="C44" i="1"/>
  <c r="C43" i="1"/>
  <c r="C39" i="1"/>
  <c r="C38" i="1"/>
  <c r="C36" i="1"/>
  <c r="C35" i="1"/>
  <c r="C33" i="1"/>
  <c r="C32" i="1"/>
  <c r="C30" i="1"/>
  <c r="C29" i="1"/>
  <c r="C28" i="1"/>
  <c r="C27" i="1"/>
  <c r="E17" i="5"/>
  <c r="E16" i="5"/>
  <c r="E15" i="5"/>
  <c r="E14" i="5"/>
  <c r="E13" i="5"/>
  <c r="E12" i="5"/>
  <c r="E11" i="5"/>
  <c r="E9" i="5"/>
  <c r="E8" i="5"/>
  <c r="E7" i="5"/>
  <c r="K93" i="3"/>
  <c r="K135" i="3"/>
  <c r="R74" i="1"/>
  <c r="L70" i="1"/>
  <c r="S70" i="1" s="1"/>
  <c r="L75" i="1"/>
  <c r="M75" i="1" s="1"/>
  <c r="L74" i="1"/>
  <c r="M74" i="1" s="1"/>
  <c r="L71" i="1"/>
  <c r="P71" i="1" s="1"/>
  <c r="L72" i="1"/>
  <c r="M97" i="1"/>
  <c r="N97" i="1"/>
  <c r="O97" i="1"/>
  <c r="P97" i="1"/>
  <c r="Q97" i="1"/>
  <c r="R97" i="1"/>
  <c r="S97" i="1"/>
  <c r="L97" i="1"/>
  <c r="M66" i="1"/>
  <c r="N66" i="1"/>
  <c r="O66" i="1"/>
  <c r="P66" i="1"/>
  <c r="Q66" i="1"/>
  <c r="R66" i="1"/>
  <c r="S66" i="1"/>
  <c r="M158" i="1"/>
  <c r="N158" i="1"/>
  <c r="O158" i="1"/>
  <c r="P158" i="1"/>
  <c r="Q158" i="1"/>
  <c r="R158" i="1"/>
  <c r="S158" i="1"/>
  <c r="L158" i="1"/>
  <c r="M153" i="1"/>
  <c r="N153" i="1"/>
  <c r="O153" i="1"/>
  <c r="P153" i="1"/>
  <c r="Q153" i="1"/>
  <c r="R153" i="1"/>
  <c r="S153" i="1"/>
  <c r="L153" i="1"/>
  <c r="M146" i="1"/>
  <c r="N146" i="1"/>
  <c r="O146" i="1"/>
  <c r="P146" i="1"/>
  <c r="Q146" i="1"/>
  <c r="R146" i="1"/>
  <c r="S146" i="1"/>
  <c r="L146" i="1"/>
  <c r="M141" i="1"/>
  <c r="N141" i="1"/>
  <c r="O141" i="1"/>
  <c r="P141" i="1"/>
  <c r="Q141" i="1"/>
  <c r="R141" i="1"/>
  <c r="S141" i="1"/>
  <c r="L141" i="1"/>
  <c r="M135" i="1"/>
  <c r="N135" i="1"/>
  <c r="O135" i="1"/>
  <c r="P135" i="1"/>
  <c r="Q135" i="1"/>
  <c r="R135" i="1"/>
  <c r="S135" i="1"/>
  <c r="L135" i="1"/>
  <c r="S128" i="1"/>
  <c r="M123" i="1"/>
  <c r="N123" i="1"/>
  <c r="O123" i="1"/>
  <c r="P123" i="1"/>
  <c r="Q123" i="1"/>
  <c r="R123" i="1"/>
  <c r="S123" i="1"/>
  <c r="L123" i="1"/>
  <c r="M121" i="1"/>
  <c r="N121" i="1"/>
  <c r="O121" i="1"/>
  <c r="P121" i="1"/>
  <c r="Q121" i="1"/>
  <c r="R121" i="1"/>
  <c r="S121" i="1"/>
  <c r="L121" i="1"/>
  <c r="M114" i="1"/>
  <c r="N114" i="1"/>
  <c r="O114" i="1"/>
  <c r="P114" i="1"/>
  <c r="Q114" i="1"/>
  <c r="R114" i="1"/>
  <c r="S114" i="1"/>
  <c r="L114" i="1"/>
  <c r="M112" i="1"/>
  <c r="M111" i="1" s="1"/>
  <c r="N112" i="1"/>
  <c r="O112" i="1"/>
  <c r="P112" i="1"/>
  <c r="Q112" i="1"/>
  <c r="R112" i="1"/>
  <c r="S112" i="1"/>
  <c r="L112" i="1"/>
  <c r="M106" i="1"/>
  <c r="N106" i="1"/>
  <c r="O106" i="1"/>
  <c r="P106" i="1"/>
  <c r="Q106" i="1"/>
  <c r="R106" i="1"/>
  <c r="S106" i="1"/>
  <c r="L106" i="1"/>
  <c r="M102" i="1"/>
  <c r="N102" i="1"/>
  <c r="O102" i="1"/>
  <c r="P102" i="1"/>
  <c r="Q102" i="1"/>
  <c r="R102" i="1"/>
  <c r="S102" i="1"/>
  <c r="M100" i="1"/>
  <c r="M99" i="1" s="1"/>
  <c r="N100" i="1"/>
  <c r="O100" i="1"/>
  <c r="P100" i="1"/>
  <c r="Q100" i="1"/>
  <c r="R100" i="1"/>
  <c r="S100" i="1"/>
  <c r="L102" i="1"/>
  <c r="L100" i="1"/>
  <c r="L99" i="1" s="1"/>
  <c r="M94" i="1"/>
  <c r="N94" i="1"/>
  <c r="O94" i="1"/>
  <c r="P94" i="1"/>
  <c r="Q94" i="1"/>
  <c r="R94" i="1"/>
  <c r="S94" i="1"/>
  <c r="L94" i="1"/>
  <c r="M90" i="1"/>
  <c r="N90" i="1"/>
  <c r="O90" i="1"/>
  <c r="P90" i="1"/>
  <c r="Q90" i="1"/>
  <c r="R90" i="1"/>
  <c r="S90" i="1"/>
  <c r="L90" i="1"/>
  <c r="M78" i="1"/>
  <c r="N78" i="1"/>
  <c r="O78" i="1"/>
  <c r="P78" i="1"/>
  <c r="Q78" i="1"/>
  <c r="R78" i="1"/>
  <c r="S78" i="1"/>
  <c r="L78" i="1"/>
  <c r="M63" i="1"/>
  <c r="N63" i="1"/>
  <c r="O63" i="1"/>
  <c r="P63" i="1"/>
  <c r="P62" i="1" s="1"/>
  <c r="Q63" i="1"/>
  <c r="Q62" i="1" s="1"/>
  <c r="R63" i="1"/>
  <c r="S63" i="1"/>
  <c r="L66" i="1"/>
  <c r="L63" i="1"/>
  <c r="L62" i="1" s="1"/>
  <c r="M42" i="1"/>
  <c r="N42" i="1"/>
  <c r="O42" i="1"/>
  <c r="P42" i="1"/>
  <c r="Q42" i="1"/>
  <c r="R42" i="1"/>
  <c r="S42" i="1"/>
  <c r="M47" i="1"/>
  <c r="N47" i="1"/>
  <c r="O47" i="1"/>
  <c r="P47" i="1"/>
  <c r="Q47" i="1"/>
  <c r="R47" i="1"/>
  <c r="S47" i="1"/>
  <c r="L47" i="1"/>
  <c r="L42" i="1"/>
  <c r="M37" i="1"/>
  <c r="N37" i="1"/>
  <c r="O37" i="1"/>
  <c r="P37" i="1"/>
  <c r="Q37" i="1"/>
  <c r="R37" i="1"/>
  <c r="S37" i="1"/>
  <c r="M34" i="1"/>
  <c r="N34" i="1"/>
  <c r="O34" i="1"/>
  <c r="P34" i="1"/>
  <c r="Q34" i="1"/>
  <c r="R34" i="1"/>
  <c r="S34" i="1"/>
  <c r="M31" i="1"/>
  <c r="N31" i="1"/>
  <c r="O31" i="1"/>
  <c r="P31" i="1"/>
  <c r="Q31" i="1"/>
  <c r="R31" i="1"/>
  <c r="S31" i="1"/>
  <c r="L37" i="1"/>
  <c r="L34" i="1"/>
  <c r="L31" i="1"/>
  <c r="M26" i="1"/>
  <c r="N26" i="1"/>
  <c r="O26" i="1"/>
  <c r="P26" i="1"/>
  <c r="Q26" i="1"/>
  <c r="R26" i="1"/>
  <c r="S26" i="1"/>
  <c r="L26" i="1"/>
  <c r="M73" i="3"/>
  <c r="N73" i="3"/>
  <c r="O73" i="3"/>
  <c r="P73" i="3"/>
  <c r="Q73" i="3"/>
  <c r="R73" i="3"/>
  <c r="S73" i="3"/>
  <c r="M74" i="3"/>
  <c r="N74" i="3"/>
  <c r="O74" i="3"/>
  <c r="P74" i="3"/>
  <c r="Q74" i="3"/>
  <c r="R74" i="3"/>
  <c r="S74" i="3"/>
  <c r="R133" i="1"/>
  <c r="N133" i="1"/>
  <c r="O133" i="1"/>
  <c r="P133" i="1"/>
  <c r="Q133" i="1"/>
  <c r="M133" i="1"/>
  <c r="L133" i="1"/>
  <c r="K132" i="1"/>
  <c r="L151" i="3"/>
  <c r="S168" i="3"/>
  <c r="R168" i="3"/>
  <c r="Q168" i="3"/>
  <c r="P168" i="3"/>
  <c r="O168" i="3"/>
  <c r="N168" i="3"/>
  <c r="M168" i="3"/>
  <c r="L168" i="3"/>
  <c r="S163" i="3"/>
  <c r="R163" i="3"/>
  <c r="Q163" i="3"/>
  <c r="P163" i="3"/>
  <c r="O163" i="3"/>
  <c r="N163" i="3"/>
  <c r="M163" i="3"/>
  <c r="L163" i="3"/>
  <c r="S156" i="3"/>
  <c r="R156" i="3"/>
  <c r="Q156" i="3"/>
  <c r="P156" i="3"/>
  <c r="O156" i="3"/>
  <c r="N156" i="3"/>
  <c r="M156" i="3"/>
  <c r="L156" i="3"/>
  <c r="S151" i="3"/>
  <c r="R151" i="3"/>
  <c r="Q151" i="3"/>
  <c r="P151" i="3"/>
  <c r="O151" i="3"/>
  <c r="N151" i="3"/>
  <c r="M151" i="3"/>
  <c r="S145" i="3"/>
  <c r="R145" i="3"/>
  <c r="Q145" i="3"/>
  <c r="P145" i="3"/>
  <c r="O145" i="3"/>
  <c r="N145" i="3"/>
  <c r="M145" i="3"/>
  <c r="L145" i="3"/>
  <c r="L144" i="3"/>
  <c r="L143" i="3"/>
  <c r="L142" i="3"/>
  <c r="L141" i="3"/>
  <c r="L140" i="3"/>
  <c r="L139" i="3"/>
  <c r="L136" i="3"/>
  <c r="L135" i="3"/>
  <c r="R134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19" i="3" s="1"/>
  <c r="L121" i="3"/>
  <c r="L120" i="3"/>
  <c r="L118" i="3"/>
  <c r="L116" i="3" s="1"/>
  <c r="L117" i="3"/>
  <c r="L115" i="3"/>
  <c r="L114" i="3"/>
  <c r="L113" i="3"/>
  <c r="L112" i="3"/>
  <c r="L111" i="3"/>
  <c r="L110" i="3"/>
  <c r="L109" i="3"/>
  <c r="L108" i="3"/>
  <c r="L107" i="3"/>
  <c r="L104" i="3"/>
  <c r="L103" i="3" s="1"/>
  <c r="L102" i="3"/>
  <c r="L101" i="3"/>
  <c r="L100" i="3"/>
  <c r="L99" i="3"/>
  <c r="L98" i="3"/>
  <c r="L97" i="3"/>
  <c r="L96" i="3"/>
  <c r="L95" i="3"/>
  <c r="L94" i="3" s="1"/>
  <c r="L93" i="3"/>
  <c r="L92" i="3" s="1"/>
  <c r="Q91" i="3"/>
  <c r="P91" i="3"/>
  <c r="O91" i="3"/>
  <c r="N91" i="3"/>
  <c r="M91" i="3"/>
  <c r="L90" i="3"/>
  <c r="L89" i="3"/>
  <c r="L86" i="3"/>
  <c r="L85" i="3"/>
  <c r="L84" i="3"/>
  <c r="L82" i="3" s="1"/>
  <c r="L83" i="3"/>
  <c r="L81" i="3"/>
  <c r="L80" i="3"/>
  <c r="L78" i="3" s="1"/>
  <c r="L79" i="3"/>
  <c r="S75" i="3"/>
  <c r="R75" i="3"/>
  <c r="Q75" i="3"/>
  <c r="P75" i="3"/>
  <c r="O75" i="3"/>
  <c r="N75" i="3"/>
  <c r="M75" i="3"/>
  <c r="L68" i="3"/>
  <c r="L66" i="3"/>
  <c r="L65" i="3" s="1"/>
  <c r="L64" i="3"/>
  <c r="L63" i="3" s="1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0" i="3"/>
  <c r="L39" i="3"/>
  <c r="L38" i="3"/>
  <c r="L37" i="3"/>
  <c r="L36" i="3"/>
  <c r="L35" i="3"/>
  <c r="L34" i="3"/>
  <c r="S29" i="3"/>
  <c r="R29" i="3"/>
  <c r="Q29" i="3"/>
  <c r="P29" i="3"/>
  <c r="O29" i="3"/>
  <c r="N29" i="3"/>
  <c r="M29" i="3"/>
  <c r="L29" i="3"/>
  <c r="S27" i="3"/>
  <c r="R27" i="3"/>
  <c r="Q27" i="3"/>
  <c r="P27" i="3"/>
  <c r="O27" i="3"/>
  <c r="N27" i="3"/>
  <c r="M27" i="3"/>
  <c r="L27" i="3"/>
  <c r="L22" i="3" s="1"/>
  <c r="S25" i="3"/>
  <c r="R25" i="3"/>
  <c r="Q25" i="3"/>
  <c r="Q22" i="3" s="1"/>
  <c r="P25" i="3"/>
  <c r="O25" i="3"/>
  <c r="N25" i="3"/>
  <c r="M25" i="3"/>
  <c r="L25" i="3"/>
  <c r="S23" i="3"/>
  <c r="R23" i="3"/>
  <c r="Q23" i="3"/>
  <c r="P23" i="3"/>
  <c r="P22" i="3" s="1"/>
  <c r="O23" i="3"/>
  <c r="O22" i="3" s="1"/>
  <c r="N23" i="3"/>
  <c r="M23" i="3"/>
  <c r="M22" i="3" s="1"/>
  <c r="L23" i="3"/>
  <c r="Q119" i="4"/>
  <c r="Q118" i="4"/>
  <c r="P116" i="4"/>
  <c r="P115" i="4"/>
  <c r="P114" i="4" s="1"/>
  <c r="O110" i="4"/>
  <c r="O111" i="4"/>
  <c r="O112" i="4"/>
  <c r="O113" i="4"/>
  <c r="O109" i="4"/>
  <c r="O108" i="4" s="1"/>
  <c r="N105" i="4"/>
  <c r="N106" i="4"/>
  <c r="N107" i="4"/>
  <c r="M100" i="4"/>
  <c r="M101" i="4"/>
  <c r="M102" i="4"/>
  <c r="M99" i="4"/>
  <c r="M98" i="4" s="1"/>
  <c r="N104" i="4"/>
  <c r="Q76" i="4"/>
  <c r="P76" i="4"/>
  <c r="P74" i="4" s="1"/>
  <c r="O76" i="4"/>
  <c r="O74" i="4" s="1"/>
  <c r="N76" i="4"/>
  <c r="M76" i="4"/>
  <c r="M74" i="4" s="1"/>
  <c r="Q75" i="4"/>
  <c r="P75" i="4"/>
  <c r="O75" i="4"/>
  <c r="N75" i="4"/>
  <c r="N74" i="4" s="1"/>
  <c r="M75" i="4"/>
  <c r="N49" i="4"/>
  <c r="N48" i="4" s="1"/>
  <c r="O49" i="4"/>
  <c r="O48" i="4" s="1"/>
  <c r="P49" i="4"/>
  <c r="Q49" i="4"/>
  <c r="Q48" i="4" s="1"/>
  <c r="N50" i="4"/>
  <c r="O50" i="4"/>
  <c r="P50" i="4"/>
  <c r="Q50" i="4"/>
  <c r="M50" i="4"/>
  <c r="M49" i="4"/>
  <c r="L97" i="4"/>
  <c r="L96" i="4"/>
  <c r="L95" i="4"/>
  <c r="L94" i="4"/>
  <c r="L90" i="4"/>
  <c r="L89" i="4"/>
  <c r="L87" i="4"/>
  <c r="L86" i="4"/>
  <c r="L85" i="4" s="1"/>
  <c r="L84" i="4"/>
  <c r="L82" i="4" s="1"/>
  <c r="L80" i="4" s="1"/>
  <c r="L83" i="4"/>
  <c r="L79" i="4"/>
  <c r="L78" i="4"/>
  <c r="L71" i="4"/>
  <c r="L73" i="4"/>
  <c r="L67" i="4"/>
  <c r="L66" i="4"/>
  <c r="L64" i="4"/>
  <c r="L63" i="4"/>
  <c r="L62" i="4"/>
  <c r="L58" i="4"/>
  <c r="L57" i="4"/>
  <c r="L55" i="4"/>
  <c r="L54" i="4"/>
  <c r="L53" i="4"/>
  <c r="L52" i="4" s="1"/>
  <c r="L47" i="4"/>
  <c r="L46" i="4"/>
  <c r="L45" i="4"/>
  <c r="L44" i="4"/>
  <c r="L43" i="4"/>
  <c r="L42" i="4"/>
  <c r="L41" i="4"/>
  <c r="L40" i="4"/>
  <c r="L39" i="4"/>
  <c r="L38" i="4"/>
  <c r="L37" i="4"/>
  <c r="L36" i="4"/>
  <c r="L34" i="4"/>
  <c r="L33" i="4"/>
  <c r="L32" i="4"/>
  <c r="L29" i="4" s="1"/>
  <c r="L31" i="4"/>
  <c r="L30" i="4"/>
  <c r="L24" i="4"/>
  <c r="L23" i="4" s="1"/>
  <c r="L21" i="4" s="1"/>
  <c r="S117" i="4"/>
  <c r="R117" i="4"/>
  <c r="Q117" i="4"/>
  <c r="P117" i="4"/>
  <c r="O117" i="4"/>
  <c r="N117" i="4"/>
  <c r="M117" i="4"/>
  <c r="L117" i="4"/>
  <c r="M114" i="4"/>
  <c r="N114" i="4"/>
  <c r="O114" i="4"/>
  <c r="Q114" i="4"/>
  <c r="R114" i="4"/>
  <c r="S114" i="4"/>
  <c r="L114" i="4"/>
  <c r="M108" i="4"/>
  <c r="N108" i="4"/>
  <c r="P108" i="4"/>
  <c r="Q108" i="4"/>
  <c r="R108" i="4"/>
  <c r="S108" i="4"/>
  <c r="L108" i="4"/>
  <c r="S103" i="4"/>
  <c r="R103" i="4"/>
  <c r="Q103" i="4"/>
  <c r="P103" i="4"/>
  <c r="O103" i="4"/>
  <c r="M103" i="4"/>
  <c r="L103" i="4"/>
  <c r="N98" i="4"/>
  <c r="O98" i="4"/>
  <c r="P98" i="4"/>
  <c r="Q98" i="4"/>
  <c r="R98" i="4"/>
  <c r="S98" i="4"/>
  <c r="L98" i="4"/>
  <c r="R93" i="4"/>
  <c r="S93" i="4"/>
  <c r="R88" i="4"/>
  <c r="S88" i="4"/>
  <c r="L88" i="4"/>
  <c r="R85" i="4"/>
  <c r="S85" i="4"/>
  <c r="R82" i="4"/>
  <c r="R80" i="4" s="1"/>
  <c r="S82" i="4"/>
  <c r="S80" i="4"/>
  <c r="R77" i="4"/>
  <c r="S77" i="4"/>
  <c r="L77" i="4"/>
  <c r="R74" i="4"/>
  <c r="S74" i="4"/>
  <c r="L74" i="4"/>
  <c r="S72" i="4"/>
  <c r="R72" i="4"/>
  <c r="L72" i="4"/>
  <c r="R70" i="4"/>
  <c r="S70" i="4"/>
  <c r="S69" i="4" s="1"/>
  <c r="L70" i="4"/>
  <c r="L69" i="4" s="1"/>
  <c r="L68" i="4" s="1"/>
  <c r="R65" i="4"/>
  <c r="S65" i="4"/>
  <c r="S60" i="4" s="1"/>
  <c r="R61" i="4"/>
  <c r="S61" i="4"/>
  <c r="L61" i="4"/>
  <c r="R56" i="4"/>
  <c r="S56" i="4"/>
  <c r="R52" i="4"/>
  <c r="S52" i="4"/>
  <c r="R51" i="4"/>
  <c r="S51" i="4"/>
  <c r="M48" i="4"/>
  <c r="R48" i="4"/>
  <c r="S48" i="4"/>
  <c r="L48" i="4"/>
  <c r="R35" i="4"/>
  <c r="S35" i="4"/>
  <c r="R29" i="4"/>
  <c r="S29" i="4"/>
  <c r="S28" i="4"/>
  <c r="S23" i="4"/>
  <c r="S21" i="4" s="1"/>
  <c r="S143" i="2"/>
  <c r="R143" i="2"/>
  <c r="K121" i="4"/>
  <c r="D14" i="5" l="1"/>
  <c r="S68" i="4"/>
  <c r="S59" i="4" s="1"/>
  <c r="R28" i="4"/>
  <c r="R27" i="4" s="1"/>
  <c r="R121" i="4" s="1"/>
  <c r="R69" i="4"/>
  <c r="R68" i="4" s="1"/>
  <c r="P48" i="4"/>
  <c r="Q74" i="4"/>
  <c r="L65" i="4"/>
  <c r="L60" i="4" s="1"/>
  <c r="L93" i="4"/>
  <c r="L91" i="4" s="1"/>
  <c r="N103" i="4"/>
  <c r="S27" i="4"/>
  <c r="R60" i="4"/>
  <c r="S91" i="4"/>
  <c r="R91" i="4"/>
  <c r="L35" i="4"/>
  <c r="L56" i="4"/>
  <c r="L51" i="4" s="1"/>
  <c r="S22" i="3"/>
  <c r="L138" i="3"/>
  <c r="L137" i="3" s="1"/>
  <c r="L33" i="3"/>
  <c r="N22" i="3"/>
  <c r="R22" i="3"/>
  <c r="L62" i="3"/>
  <c r="L106" i="3"/>
  <c r="L105" i="3" s="1"/>
  <c r="L77" i="3"/>
  <c r="D12" i="5"/>
  <c r="D16" i="5"/>
  <c r="R73" i="1"/>
  <c r="L41" i="1"/>
  <c r="M62" i="1"/>
  <c r="P70" i="1"/>
  <c r="Q75" i="1"/>
  <c r="D8" i="5"/>
  <c r="S74" i="1"/>
  <c r="R75" i="1"/>
  <c r="L77" i="1"/>
  <c r="L76" i="1" s="1"/>
  <c r="L111" i="1"/>
  <c r="O70" i="1"/>
  <c r="P75" i="1"/>
  <c r="Q70" i="1"/>
  <c r="S77" i="1"/>
  <c r="N70" i="1"/>
  <c r="O75" i="1"/>
  <c r="D11" i="5"/>
  <c r="M73" i="1"/>
  <c r="S75" i="1"/>
  <c r="O25" i="1"/>
  <c r="O62" i="1"/>
  <c r="Q74" i="1"/>
  <c r="Q73" i="1" s="1"/>
  <c r="O71" i="1"/>
  <c r="N75" i="1"/>
  <c r="S71" i="1"/>
  <c r="P25" i="1"/>
  <c r="D15" i="5"/>
  <c r="M70" i="1"/>
  <c r="N62" i="1"/>
  <c r="P74" i="1"/>
  <c r="L93" i="1"/>
  <c r="L92" i="1" s="1"/>
  <c r="L69" i="1"/>
  <c r="L68" i="1" s="1"/>
  <c r="R71" i="1"/>
  <c r="D17" i="5"/>
  <c r="G18" i="5"/>
  <c r="H18" i="5"/>
  <c r="F18" i="5"/>
  <c r="D9" i="5"/>
  <c r="D13" i="5"/>
  <c r="D7" i="5"/>
  <c r="E18" i="5"/>
  <c r="N25" i="1"/>
  <c r="R77" i="1"/>
  <c r="O77" i="1"/>
  <c r="P111" i="1"/>
  <c r="S25" i="1"/>
  <c r="M77" i="1"/>
  <c r="O99" i="1"/>
  <c r="N111" i="1"/>
  <c r="M71" i="1"/>
  <c r="O74" i="1"/>
  <c r="O73" i="1" s="1"/>
  <c r="Q99" i="1"/>
  <c r="L25" i="1"/>
  <c r="N77" i="1"/>
  <c r="O111" i="1"/>
  <c r="N71" i="1"/>
  <c r="R25" i="1"/>
  <c r="S62" i="1"/>
  <c r="N99" i="1"/>
  <c r="R70" i="1"/>
  <c r="N74" i="1"/>
  <c r="P99" i="1"/>
  <c r="Q25" i="1"/>
  <c r="R62" i="1"/>
  <c r="S126" i="1"/>
  <c r="M25" i="1"/>
  <c r="S111" i="1"/>
  <c r="Q77" i="1"/>
  <c r="S99" i="1"/>
  <c r="R111" i="1"/>
  <c r="Q71" i="1"/>
  <c r="L73" i="1"/>
  <c r="P77" i="1"/>
  <c r="R99" i="1"/>
  <c r="Q111" i="1"/>
  <c r="R59" i="4"/>
  <c r="L59" i="4"/>
  <c r="L28" i="4"/>
  <c r="L27" i="4" s="1"/>
  <c r="L121" i="4" s="1"/>
  <c r="L88" i="3"/>
  <c r="L87" i="3" s="1"/>
  <c r="L41" i="3"/>
  <c r="R72" i="1"/>
  <c r="S72" i="1"/>
  <c r="S69" i="1" s="1"/>
  <c r="M72" i="1"/>
  <c r="N72" i="1"/>
  <c r="O72" i="1"/>
  <c r="P72" i="1"/>
  <c r="P69" i="1" s="1"/>
  <c r="Q72" i="1"/>
  <c r="S41" i="1"/>
  <c r="R41" i="1"/>
  <c r="Q41" i="1"/>
  <c r="P41" i="1"/>
  <c r="O41" i="1"/>
  <c r="N41" i="1"/>
  <c r="M41" i="1"/>
  <c r="S93" i="1"/>
  <c r="R93" i="1"/>
  <c r="R92" i="1" s="1"/>
  <c r="Q93" i="1"/>
  <c r="Q92" i="1" s="1"/>
  <c r="P93" i="1"/>
  <c r="P92" i="1" s="1"/>
  <c r="O93" i="1"/>
  <c r="N93" i="1"/>
  <c r="M93" i="1"/>
  <c r="M92" i="1" s="1"/>
  <c r="L76" i="3"/>
  <c r="R132" i="1"/>
  <c r="R128" i="1" s="1"/>
  <c r="R126" i="1" s="1"/>
  <c r="N132" i="1"/>
  <c r="N128" i="1" s="1"/>
  <c r="N126" i="1" s="1"/>
  <c r="O132" i="1"/>
  <c r="O128" i="1" s="1"/>
  <c r="O126" i="1" s="1"/>
  <c r="P132" i="1"/>
  <c r="P128" i="1" s="1"/>
  <c r="P126" i="1" s="1"/>
  <c r="Q132" i="1"/>
  <c r="Q128" i="1" s="1"/>
  <c r="Q126" i="1" s="1"/>
  <c r="M132" i="1"/>
  <c r="M128" i="1" s="1"/>
  <c r="M126" i="1" s="1"/>
  <c r="L132" i="1"/>
  <c r="L128" i="1" s="1"/>
  <c r="L126" i="1" s="1"/>
  <c r="S72" i="3"/>
  <c r="R72" i="3"/>
  <c r="Q72" i="3"/>
  <c r="P72" i="3"/>
  <c r="O72" i="3"/>
  <c r="N72" i="3"/>
  <c r="M72" i="3"/>
  <c r="L72" i="3"/>
  <c r="L67" i="3" s="1"/>
  <c r="S121" i="4"/>
  <c r="S34" i="3"/>
  <c r="R34" i="3"/>
  <c r="Q34" i="3"/>
  <c r="P34" i="3"/>
  <c r="O34" i="3"/>
  <c r="N34" i="3"/>
  <c r="M34" i="3"/>
  <c r="S35" i="3"/>
  <c r="R35" i="3"/>
  <c r="Q35" i="3"/>
  <c r="P35" i="3"/>
  <c r="O35" i="3"/>
  <c r="N35" i="3"/>
  <c r="M35" i="3"/>
  <c r="S36" i="3"/>
  <c r="R36" i="3"/>
  <c r="Q36" i="3"/>
  <c r="P36" i="3"/>
  <c r="O36" i="3"/>
  <c r="N36" i="3"/>
  <c r="M36" i="3"/>
  <c r="S37" i="3"/>
  <c r="R37" i="3"/>
  <c r="Q37" i="3"/>
  <c r="P37" i="3"/>
  <c r="O37" i="3"/>
  <c r="N37" i="3"/>
  <c r="M37" i="3"/>
  <c r="S38" i="3"/>
  <c r="R38" i="3"/>
  <c r="Q38" i="3"/>
  <c r="P38" i="3"/>
  <c r="O38" i="3"/>
  <c r="N38" i="3"/>
  <c r="M38" i="3"/>
  <c r="S39" i="3"/>
  <c r="R39" i="3"/>
  <c r="Q39" i="3"/>
  <c r="P39" i="3"/>
  <c r="O39" i="3"/>
  <c r="N39" i="3"/>
  <c r="M39" i="3"/>
  <c r="S40" i="3"/>
  <c r="R40" i="3"/>
  <c r="Q40" i="3"/>
  <c r="P40" i="3"/>
  <c r="O40" i="3"/>
  <c r="N40" i="3"/>
  <c r="M40" i="3"/>
  <c r="S42" i="3"/>
  <c r="R42" i="3"/>
  <c r="Q42" i="3"/>
  <c r="P42" i="3"/>
  <c r="O42" i="3"/>
  <c r="N42" i="3"/>
  <c r="M42" i="3"/>
  <c r="S43" i="3"/>
  <c r="R43" i="3"/>
  <c r="Q43" i="3"/>
  <c r="P43" i="3"/>
  <c r="O43" i="3"/>
  <c r="N43" i="3"/>
  <c r="M43" i="3"/>
  <c r="S44" i="3"/>
  <c r="R44" i="3"/>
  <c r="Q44" i="3"/>
  <c r="P44" i="3"/>
  <c r="O44" i="3"/>
  <c r="N44" i="3"/>
  <c r="M44" i="3"/>
  <c r="S45" i="3"/>
  <c r="R45" i="3"/>
  <c r="Q45" i="3"/>
  <c r="P45" i="3"/>
  <c r="O45" i="3"/>
  <c r="N45" i="3"/>
  <c r="M45" i="3"/>
  <c r="S46" i="3"/>
  <c r="R46" i="3"/>
  <c r="Q46" i="3"/>
  <c r="P46" i="3"/>
  <c r="O46" i="3"/>
  <c r="N46" i="3"/>
  <c r="M46" i="3"/>
  <c r="S47" i="3"/>
  <c r="R47" i="3"/>
  <c r="Q47" i="3"/>
  <c r="P47" i="3"/>
  <c r="O47" i="3"/>
  <c r="N47" i="3"/>
  <c r="M47" i="3"/>
  <c r="S48" i="3"/>
  <c r="R48" i="3"/>
  <c r="Q48" i="3"/>
  <c r="P48" i="3"/>
  <c r="O48" i="3"/>
  <c r="N48" i="3"/>
  <c r="M48" i="3"/>
  <c r="S49" i="3"/>
  <c r="R49" i="3"/>
  <c r="Q49" i="3"/>
  <c r="P49" i="3"/>
  <c r="O49" i="3"/>
  <c r="N49" i="3"/>
  <c r="M49" i="3"/>
  <c r="S50" i="3"/>
  <c r="R50" i="3"/>
  <c r="Q50" i="3"/>
  <c r="P50" i="3"/>
  <c r="O50" i="3"/>
  <c r="N50" i="3"/>
  <c r="M50" i="3"/>
  <c r="S51" i="3"/>
  <c r="R51" i="3"/>
  <c r="Q51" i="3"/>
  <c r="P51" i="3"/>
  <c r="O51" i="3"/>
  <c r="N51" i="3"/>
  <c r="M51" i="3"/>
  <c r="S52" i="3"/>
  <c r="R52" i="3"/>
  <c r="Q52" i="3"/>
  <c r="P52" i="3"/>
  <c r="O52" i="3"/>
  <c r="N52" i="3"/>
  <c r="M52" i="3"/>
  <c r="S53" i="3"/>
  <c r="R53" i="3"/>
  <c r="Q53" i="3"/>
  <c r="P53" i="3"/>
  <c r="O53" i="3"/>
  <c r="N53" i="3"/>
  <c r="M53" i="3"/>
  <c r="S54" i="3"/>
  <c r="R54" i="3"/>
  <c r="Q54" i="3"/>
  <c r="P54" i="3"/>
  <c r="O54" i="3"/>
  <c r="N54" i="3"/>
  <c r="M54" i="3"/>
  <c r="S55" i="3"/>
  <c r="R55" i="3"/>
  <c r="Q55" i="3"/>
  <c r="P55" i="3"/>
  <c r="O55" i="3"/>
  <c r="N55" i="3"/>
  <c r="M55" i="3"/>
  <c r="S56" i="3"/>
  <c r="R56" i="3"/>
  <c r="Q56" i="3"/>
  <c r="P56" i="3"/>
  <c r="O56" i="3"/>
  <c r="N56" i="3"/>
  <c r="M56" i="3"/>
  <c r="S57" i="3"/>
  <c r="R57" i="3"/>
  <c r="Q57" i="3"/>
  <c r="P57" i="3"/>
  <c r="O57" i="3"/>
  <c r="N57" i="3"/>
  <c r="M57" i="3"/>
  <c r="S58" i="3"/>
  <c r="R58" i="3"/>
  <c r="Q58" i="3"/>
  <c r="P58" i="3"/>
  <c r="O58" i="3"/>
  <c r="N58" i="3"/>
  <c r="M58" i="3"/>
  <c r="S59" i="3"/>
  <c r="R59" i="3"/>
  <c r="Q59" i="3"/>
  <c r="P59" i="3"/>
  <c r="O59" i="3"/>
  <c r="N59" i="3"/>
  <c r="M59" i="3"/>
  <c r="S60" i="3"/>
  <c r="R60" i="3"/>
  <c r="Q60" i="3"/>
  <c r="P60" i="3"/>
  <c r="O60" i="3"/>
  <c r="N60" i="3"/>
  <c r="M60" i="3"/>
  <c r="S61" i="3"/>
  <c r="R61" i="3"/>
  <c r="Q61" i="3"/>
  <c r="P61" i="3"/>
  <c r="O61" i="3"/>
  <c r="N61" i="3"/>
  <c r="M61" i="3"/>
  <c r="S64" i="3"/>
  <c r="S63" i="3" s="1"/>
  <c r="R64" i="3"/>
  <c r="R63" i="3" s="1"/>
  <c r="Q64" i="3"/>
  <c r="Q63" i="3" s="1"/>
  <c r="P64" i="3"/>
  <c r="P63" i="3" s="1"/>
  <c r="O64" i="3"/>
  <c r="O63" i="3" s="1"/>
  <c r="N64" i="3"/>
  <c r="N63" i="3" s="1"/>
  <c r="M64" i="3"/>
  <c r="M63" i="3" s="1"/>
  <c r="S66" i="3"/>
  <c r="S65" i="3" s="1"/>
  <c r="R66" i="3"/>
  <c r="R65" i="3" s="1"/>
  <c r="Q66" i="3"/>
  <c r="Q65" i="3" s="1"/>
  <c r="P66" i="3"/>
  <c r="P65" i="3" s="1"/>
  <c r="O66" i="3"/>
  <c r="O65" i="3" s="1"/>
  <c r="N66" i="3"/>
  <c r="N65" i="3" s="1"/>
  <c r="M66" i="3"/>
  <c r="M65" i="3" s="1"/>
  <c r="S69" i="3"/>
  <c r="R69" i="3"/>
  <c r="Q69" i="3"/>
  <c r="P69" i="3"/>
  <c r="O69" i="3"/>
  <c r="N69" i="3"/>
  <c r="M69" i="3"/>
  <c r="S70" i="3"/>
  <c r="R70" i="3"/>
  <c r="Q70" i="3"/>
  <c r="P70" i="3"/>
  <c r="O70" i="3"/>
  <c r="N70" i="3"/>
  <c r="M70" i="3"/>
  <c r="S71" i="3"/>
  <c r="R71" i="3"/>
  <c r="Q71" i="3"/>
  <c r="P71" i="3"/>
  <c r="O71" i="3"/>
  <c r="N71" i="3"/>
  <c r="M71" i="3"/>
  <c r="S79" i="3"/>
  <c r="R79" i="3"/>
  <c r="Q79" i="3"/>
  <c r="P79" i="3"/>
  <c r="O79" i="3"/>
  <c r="N79" i="3"/>
  <c r="M79" i="3"/>
  <c r="S80" i="3"/>
  <c r="R80" i="3"/>
  <c r="Q80" i="3"/>
  <c r="P80" i="3"/>
  <c r="O80" i="3"/>
  <c r="N80" i="3"/>
  <c r="M80" i="3"/>
  <c r="S81" i="3"/>
  <c r="R81" i="3"/>
  <c r="Q81" i="3"/>
  <c r="P81" i="3"/>
  <c r="O81" i="3"/>
  <c r="N81" i="3"/>
  <c r="M81" i="3"/>
  <c r="S83" i="3"/>
  <c r="R83" i="3"/>
  <c r="Q83" i="3"/>
  <c r="P83" i="3"/>
  <c r="O83" i="3"/>
  <c r="N83" i="3"/>
  <c r="M83" i="3"/>
  <c r="S84" i="3"/>
  <c r="R84" i="3"/>
  <c r="Q84" i="3"/>
  <c r="P84" i="3"/>
  <c r="O84" i="3"/>
  <c r="N84" i="3"/>
  <c r="M84" i="3"/>
  <c r="S85" i="3"/>
  <c r="R85" i="3"/>
  <c r="Q85" i="3"/>
  <c r="P85" i="3"/>
  <c r="O85" i="3"/>
  <c r="N85" i="3"/>
  <c r="M85" i="3"/>
  <c r="S86" i="3"/>
  <c r="R86" i="3"/>
  <c r="Q86" i="3"/>
  <c r="P86" i="3"/>
  <c r="O86" i="3"/>
  <c r="N86" i="3"/>
  <c r="M86" i="3"/>
  <c r="S90" i="3"/>
  <c r="S89" i="3" s="1"/>
  <c r="R90" i="3"/>
  <c r="R89" i="3" s="1"/>
  <c r="Q90" i="3"/>
  <c r="Q89" i="3" s="1"/>
  <c r="P90" i="3"/>
  <c r="P89" i="3" s="1"/>
  <c r="O90" i="3"/>
  <c r="O89" i="3" s="1"/>
  <c r="N90" i="3"/>
  <c r="N89" i="3" s="1"/>
  <c r="M90" i="3"/>
  <c r="M89" i="3" s="1"/>
  <c r="S93" i="3"/>
  <c r="S92" i="3" s="1"/>
  <c r="S88" i="3" s="1"/>
  <c r="R93" i="3"/>
  <c r="R92" i="3" s="1"/>
  <c r="R88" i="3" s="1"/>
  <c r="Q93" i="3"/>
  <c r="Q92" i="3" s="1"/>
  <c r="P93" i="3"/>
  <c r="P92" i="3" s="1"/>
  <c r="O93" i="3"/>
  <c r="O92" i="3" s="1"/>
  <c r="N93" i="3"/>
  <c r="N92" i="3" s="1"/>
  <c r="M93" i="3"/>
  <c r="M92" i="3" s="1"/>
  <c r="S96" i="3"/>
  <c r="R96" i="3"/>
  <c r="Q96" i="3"/>
  <c r="P96" i="3"/>
  <c r="O96" i="3"/>
  <c r="N96" i="3"/>
  <c r="M96" i="3"/>
  <c r="S97" i="3"/>
  <c r="R97" i="3"/>
  <c r="Q97" i="3"/>
  <c r="P97" i="3"/>
  <c r="O97" i="3"/>
  <c r="N97" i="3"/>
  <c r="M97" i="3"/>
  <c r="S99" i="3"/>
  <c r="R99" i="3"/>
  <c r="Q99" i="3"/>
  <c r="P99" i="3"/>
  <c r="O99" i="3"/>
  <c r="N99" i="3"/>
  <c r="M99" i="3"/>
  <c r="S100" i="3"/>
  <c r="R100" i="3"/>
  <c r="Q100" i="3"/>
  <c r="P100" i="3"/>
  <c r="O100" i="3"/>
  <c r="N100" i="3"/>
  <c r="M100" i="3"/>
  <c r="S101" i="3"/>
  <c r="R101" i="3"/>
  <c r="Q101" i="3"/>
  <c r="P101" i="3"/>
  <c r="O101" i="3"/>
  <c r="N101" i="3"/>
  <c r="M101" i="3"/>
  <c r="S102" i="3"/>
  <c r="R102" i="3"/>
  <c r="Q102" i="3"/>
  <c r="P102" i="3"/>
  <c r="O102" i="3"/>
  <c r="N102" i="3"/>
  <c r="M102" i="3"/>
  <c r="S104" i="3"/>
  <c r="S103" i="3" s="1"/>
  <c r="R104" i="3"/>
  <c r="R103" i="3" s="1"/>
  <c r="Q104" i="3"/>
  <c r="Q103" i="3" s="1"/>
  <c r="P104" i="3"/>
  <c r="P103" i="3" s="1"/>
  <c r="O104" i="3"/>
  <c r="O103" i="3" s="1"/>
  <c r="N104" i="3"/>
  <c r="N103" i="3" s="1"/>
  <c r="M104" i="3"/>
  <c r="M103" i="3" s="1"/>
  <c r="S107" i="3"/>
  <c r="R107" i="3"/>
  <c r="Q107" i="3"/>
  <c r="P107" i="3"/>
  <c r="O107" i="3"/>
  <c r="N107" i="3"/>
  <c r="M107" i="3"/>
  <c r="S108" i="3"/>
  <c r="R108" i="3"/>
  <c r="Q108" i="3"/>
  <c r="P108" i="3"/>
  <c r="O108" i="3"/>
  <c r="N108" i="3"/>
  <c r="M108" i="3"/>
  <c r="S109" i="3"/>
  <c r="R109" i="3"/>
  <c r="Q109" i="3"/>
  <c r="P109" i="3"/>
  <c r="O109" i="3"/>
  <c r="N109" i="3"/>
  <c r="M109" i="3"/>
  <c r="S110" i="3"/>
  <c r="R110" i="3"/>
  <c r="Q110" i="3"/>
  <c r="P110" i="3"/>
  <c r="O110" i="3"/>
  <c r="N110" i="3"/>
  <c r="M110" i="3"/>
  <c r="S111" i="3"/>
  <c r="R111" i="3"/>
  <c r="Q111" i="3"/>
  <c r="P111" i="3"/>
  <c r="O111" i="3"/>
  <c r="N111" i="3"/>
  <c r="M111" i="3"/>
  <c r="S112" i="3"/>
  <c r="R112" i="3"/>
  <c r="Q112" i="3"/>
  <c r="P112" i="3"/>
  <c r="O112" i="3"/>
  <c r="N112" i="3"/>
  <c r="M112" i="3"/>
  <c r="S113" i="3"/>
  <c r="R113" i="3"/>
  <c r="Q113" i="3"/>
  <c r="P113" i="3"/>
  <c r="O113" i="3"/>
  <c r="N113" i="3"/>
  <c r="M113" i="3"/>
  <c r="S114" i="3"/>
  <c r="R114" i="3"/>
  <c r="Q114" i="3"/>
  <c r="P114" i="3"/>
  <c r="O114" i="3"/>
  <c r="N114" i="3"/>
  <c r="M114" i="3"/>
  <c r="S115" i="3"/>
  <c r="R115" i="3"/>
  <c r="Q115" i="3"/>
  <c r="P115" i="3"/>
  <c r="O115" i="3"/>
  <c r="N115" i="3"/>
  <c r="M115" i="3"/>
  <c r="S117" i="3"/>
  <c r="R117" i="3"/>
  <c r="Q117" i="3"/>
  <c r="P117" i="3"/>
  <c r="O117" i="3"/>
  <c r="N117" i="3"/>
  <c r="M117" i="3"/>
  <c r="S118" i="3"/>
  <c r="R118" i="3"/>
  <c r="Q118" i="3"/>
  <c r="P118" i="3"/>
  <c r="O118" i="3"/>
  <c r="N118" i="3"/>
  <c r="M118" i="3"/>
  <c r="S120" i="3"/>
  <c r="R120" i="3"/>
  <c r="Q120" i="3"/>
  <c r="P120" i="3"/>
  <c r="O120" i="3"/>
  <c r="N120" i="3"/>
  <c r="M120" i="3"/>
  <c r="S121" i="3"/>
  <c r="R121" i="3"/>
  <c r="Q121" i="3"/>
  <c r="P121" i="3"/>
  <c r="O121" i="3"/>
  <c r="N121" i="3"/>
  <c r="M121" i="3"/>
  <c r="S122" i="3"/>
  <c r="R122" i="3"/>
  <c r="Q122" i="3"/>
  <c r="P122" i="3"/>
  <c r="O122" i="3"/>
  <c r="N122" i="3"/>
  <c r="M122" i="3"/>
  <c r="S123" i="3"/>
  <c r="R123" i="3"/>
  <c r="Q123" i="3"/>
  <c r="P123" i="3"/>
  <c r="O123" i="3"/>
  <c r="N123" i="3"/>
  <c r="M123" i="3"/>
  <c r="S124" i="3"/>
  <c r="R124" i="3"/>
  <c r="Q124" i="3"/>
  <c r="P124" i="3"/>
  <c r="O124" i="3"/>
  <c r="N124" i="3"/>
  <c r="M124" i="3"/>
  <c r="S125" i="3"/>
  <c r="R125" i="3"/>
  <c r="Q125" i="3"/>
  <c r="P125" i="3"/>
  <c r="O125" i="3"/>
  <c r="N125" i="3"/>
  <c r="M125" i="3"/>
  <c r="S126" i="3"/>
  <c r="R126" i="3"/>
  <c r="Q126" i="3"/>
  <c r="P126" i="3"/>
  <c r="O126" i="3"/>
  <c r="N126" i="3"/>
  <c r="M126" i="3"/>
  <c r="S127" i="3"/>
  <c r="R127" i="3"/>
  <c r="Q127" i="3"/>
  <c r="P127" i="3"/>
  <c r="O127" i="3"/>
  <c r="N127" i="3"/>
  <c r="M127" i="3"/>
  <c r="S128" i="3"/>
  <c r="R128" i="3"/>
  <c r="Q128" i="3"/>
  <c r="P128" i="3"/>
  <c r="O128" i="3"/>
  <c r="N128" i="3"/>
  <c r="M128" i="3"/>
  <c r="S129" i="3"/>
  <c r="R129" i="3"/>
  <c r="Q129" i="3"/>
  <c r="P129" i="3"/>
  <c r="O129" i="3"/>
  <c r="N129" i="3"/>
  <c r="M129" i="3"/>
  <c r="S130" i="3"/>
  <c r="R130" i="3"/>
  <c r="Q130" i="3"/>
  <c r="P130" i="3"/>
  <c r="O130" i="3"/>
  <c r="N130" i="3"/>
  <c r="M130" i="3"/>
  <c r="S131" i="3"/>
  <c r="R131" i="3"/>
  <c r="Q131" i="3"/>
  <c r="P131" i="3"/>
  <c r="O131" i="3"/>
  <c r="N131" i="3"/>
  <c r="M131" i="3"/>
  <c r="S132" i="3"/>
  <c r="R132" i="3"/>
  <c r="Q132" i="3"/>
  <c r="P132" i="3"/>
  <c r="O132" i="3"/>
  <c r="N132" i="3"/>
  <c r="M132" i="3"/>
  <c r="S133" i="3"/>
  <c r="R133" i="3"/>
  <c r="Q133" i="3"/>
  <c r="P133" i="3"/>
  <c r="O133" i="3"/>
  <c r="N133" i="3"/>
  <c r="M133" i="3"/>
  <c r="S135" i="3"/>
  <c r="Q135" i="3"/>
  <c r="P135" i="3"/>
  <c r="O135" i="3"/>
  <c r="N135" i="3"/>
  <c r="M135" i="3"/>
  <c r="S136" i="3"/>
  <c r="Q136" i="3"/>
  <c r="P136" i="3"/>
  <c r="O136" i="3"/>
  <c r="N136" i="3"/>
  <c r="M136" i="3"/>
  <c r="R139" i="3"/>
  <c r="Q139" i="3"/>
  <c r="P139" i="3"/>
  <c r="O139" i="3"/>
  <c r="N139" i="3"/>
  <c r="M139" i="3"/>
  <c r="R140" i="3"/>
  <c r="Q140" i="3"/>
  <c r="P140" i="3"/>
  <c r="O140" i="3"/>
  <c r="N140" i="3"/>
  <c r="M140" i="3"/>
  <c r="S141" i="3"/>
  <c r="Q141" i="3"/>
  <c r="P141" i="3"/>
  <c r="O141" i="3"/>
  <c r="N141" i="3"/>
  <c r="M141" i="3"/>
  <c r="S142" i="3"/>
  <c r="R142" i="3"/>
  <c r="Q142" i="3"/>
  <c r="P142" i="3"/>
  <c r="O142" i="3"/>
  <c r="N142" i="3"/>
  <c r="M142" i="3"/>
  <c r="R143" i="3"/>
  <c r="Q143" i="3"/>
  <c r="P143" i="3"/>
  <c r="O143" i="3"/>
  <c r="N143" i="3"/>
  <c r="M143" i="3"/>
  <c r="S144" i="3"/>
  <c r="R144" i="3"/>
  <c r="Q144" i="3"/>
  <c r="P144" i="3"/>
  <c r="O144" i="3"/>
  <c r="N144" i="3"/>
  <c r="M144" i="3"/>
  <c r="R24" i="4"/>
  <c r="R23" i="4" s="1"/>
  <c r="R21" i="4" s="1"/>
  <c r="N24" i="4"/>
  <c r="N23" i="4" s="1"/>
  <c r="N21" i="4" s="1"/>
  <c r="O24" i="4"/>
  <c r="O23" i="4" s="1"/>
  <c r="O21" i="4" s="1"/>
  <c r="P24" i="4"/>
  <c r="P23" i="4" s="1"/>
  <c r="P21" i="4" s="1"/>
  <c r="Q24" i="4"/>
  <c r="Q23" i="4" s="1"/>
  <c r="Q21" i="4" s="1"/>
  <c r="M24" i="4"/>
  <c r="M23" i="4" s="1"/>
  <c r="M21" i="4" s="1"/>
  <c r="N30" i="4"/>
  <c r="O30" i="4"/>
  <c r="P30" i="4"/>
  <c r="Q30" i="4"/>
  <c r="M30" i="4"/>
  <c r="N31" i="4"/>
  <c r="O31" i="4"/>
  <c r="P31" i="4"/>
  <c r="Q31" i="4"/>
  <c r="M31" i="4"/>
  <c r="N32" i="4"/>
  <c r="O32" i="4"/>
  <c r="P32" i="4"/>
  <c r="Q32" i="4"/>
  <c r="M32" i="4"/>
  <c r="N33" i="4"/>
  <c r="O33" i="4"/>
  <c r="P33" i="4"/>
  <c r="Q33" i="4"/>
  <c r="M33" i="4"/>
  <c r="N34" i="4"/>
  <c r="O34" i="4"/>
  <c r="P34" i="4"/>
  <c r="Q34" i="4"/>
  <c r="M34" i="4"/>
  <c r="N36" i="4"/>
  <c r="O36" i="4"/>
  <c r="P36" i="4"/>
  <c r="Q36" i="4"/>
  <c r="M36" i="4"/>
  <c r="N37" i="4"/>
  <c r="O37" i="4"/>
  <c r="P37" i="4"/>
  <c r="Q37" i="4"/>
  <c r="M37" i="4"/>
  <c r="N38" i="4"/>
  <c r="O38" i="4"/>
  <c r="P38" i="4"/>
  <c r="Q38" i="4"/>
  <c r="M38" i="4"/>
  <c r="N39" i="4"/>
  <c r="O39" i="4"/>
  <c r="P39" i="4"/>
  <c r="Q39" i="4"/>
  <c r="M39" i="4"/>
  <c r="N40" i="4"/>
  <c r="O40" i="4"/>
  <c r="P40" i="4"/>
  <c r="Q40" i="4"/>
  <c r="M40" i="4"/>
  <c r="N41" i="4"/>
  <c r="O41" i="4"/>
  <c r="P41" i="4"/>
  <c r="Q41" i="4"/>
  <c r="M41" i="4"/>
  <c r="N42" i="4"/>
  <c r="O42" i="4"/>
  <c r="P42" i="4"/>
  <c r="Q42" i="4"/>
  <c r="M42" i="4"/>
  <c r="N43" i="4"/>
  <c r="O43" i="4"/>
  <c r="P43" i="4"/>
  <c r="Q43" i="4"/>
  <c r="M43" i="4"/>
  <c r="N44" i="4"/>
  <c r="O44" i="4"/>
  <c r="P44" i="4"/>
  <c r="Q44" i="4"/>
  <c r="M44" i="4"/>
  <c r="N45" i="4"/>
  <c r="O45" i="4"/>
  <c r="P45" i="4"/>
  <c r="Q45" i="4"/>
  <c r="M45" i="4"/>
  <c r="N46" i="4"/>
  <c r="O46" i="4"/>
  <c r="P46" i="4"/>
  <c r="Q46" i="4"/>
  <c r="M46" i="4"/>
  <c r="N47" i="4"/>
  <c r="O47" i="4"/>
  <c r="P47" i="4"/>
  <c r="Q47" i="4"/>
  <c r="M47" i="4"/>
  <c r="N53" i="4"/>
  <c r="O53" i="4"/>
  <c r="P53" i="4"/>
  <c r="Q53" i="4"/>
  <c r="M53" i="4"/>
  <c r="N54" i="4"/>
  <c r="O54" i="4"/>
  <c r="P54" i="4"/>
  <c r="Q54" i="4"/>
  <c r="M54" i="4"/>
  <c r="N55" i="4"/>
  <c r="O55" i="4"/>
  <c r="P55" i="4"/>
  <c r="Q55" i="4"/>
  <c r="M55" i="4"/>
  <c r="N57" i="4"/>
  <c r="O57" i="4"/>
  <c r="P57" i="4"/>
  <c r="Q57" i="4"/>
  <c r="M57" i="4"/>
  <c r="M58" i="4"/>
  <c r="N58" i="4"/>
  <c r="O58" i="4"/>
  <c r="P58" i="4"/>
  <c r="Q58" i="4"/>
  <c r="N62" i="4"/>
  <c r="O62" i="4"/>
  <c r="P62" i="4"/>
  <c r="Q62" i="4"/>
  <c r="M62" i="4"/>
  <c r="N63" i="4"/>
  <c r="O63" i="4"/>
  <c r="P63" i="4"/>
  <c r="Q63" i="4"/>
  <c r="M63" i="4"/>
  <c r="N64" i="4"/>
  <c r="O64" i="4"/>
  <c r="P64" i="4"/>
  <c r="Q64" i="4"/>
  <c r="M64" i="4"/>
  <c r="Q66" i="4"/>
  <c r="P66" i="4"/>
  <c r="O66" i="4"/>
  <c r="N66" i="4"/>
  <c r="M66" i="4"/>
  <c r="Q67" i="4"/>
  <c r="P67" i="4"/>
  <c r="O67" i="4"/>
  <c r="N67" i="4"/>
  <c r="M67" i="4"/>
  <c r="Q73" i="4"/>
  <c r="Q72" i="4" s="1"/>
  <c r="P73" i="4"/>
  <c r="P72" i="4" s="1"/>
  <c r="O73" i="4"/>
  <c r="O72" i="4" s="1"/>
  <c r="N73" i="4"/>
  <c r="N72" i="4" s="1"/>
  <c r="M73" i="4"/>
  <c r="M72" i="4" s="1"/>
  <c r="Q71" i="4"/>
  <c r="Q70" i="4" s="1"/>
  <c r="Q69" i="4" s="1"/>
  <c r="P71" i="4"/>
  <c r="P70" i="4" s="1"/>
  <c r="P69" i="4" s="1"/>
  <c r="P68" i="4" s="1"/>
  <c r="O71" i="4"/>
  <c r="O70" i="4" s="1"/>
  <c r="O69" i="4" s="1"/>
  <c r="O68" i="4" s="1"/>
  <c r="N71" i="4"/>
  <c r="N70" i="4" s="1"/>
  <c r="M71" i="4"/>
  <c r="M70" i="4" s="1"/>
  <c r="Q78" i="4"/>
  <c r="P78" i="4"/>
  <c r="O78" i="4"/>
  <c r="N78" i="4"/>
  <c r="M78" i="4"/>
  <c r="Q79" i="4"/>
  <c r="P79" i="4"/>
  <c r="O79" i="4"/>
  <c r="N79" i="4"/>
  <c r="M79" i="4"/>
  <c r="Q83" i="4"/>
  <c r="P83" i="4"/>
  <c r="O83" i="4"/>
  <c r="N83" i="4"/>
  <c r="M83" i="4"/>
  <c r="Q84" i="4"/>
  <c r="P84" i="4"/>
  <c r="O84" i="4"/>
  <c r="N84" i="4"/>
  <c r="M84" i="4"/>
  <c r="Q86" i="4"/>
  <c r="P86" i="4"/>
  <c r="O86" i="4"/>
  <c r="N86" i="4"/>
  <c r="M86" i="4"/>
  <c r="Q87" i="4"/>
  <c r="P87" i="4"/>
  <c r="O87" i="4"/>
  <c r="N87" i="4"/>
  <c r="M87" i="4"/>
  <c r="Q89" i="4"/>
  <c r="P89" i="4"/>
  <c r="O89" i="4"/>
  <c r="N89" i="4"/>
  <c r="M89" i="4"/>
  <c r="Q90" i="4"/>
  <c r="P90" i="4"/>
  <c r="O90" i="4"/>
  <c r="N90" i="4"/>
  <c r="M90" i="4"/>
  <c r="Q94" i="4"/>
  <c r="P94" i="4"/>
  <c r="O94" i="4"/>
  <c r="N94" i="4"/>
  <c r="M94" i="4"/>
  <c r="Q95" i="4"/>
  <c r="P95" i="4"/>
  <c r="O95" i="4"/>
  <c r="N95" i="4"/>
  <c r="M95" i="4"/>
  <c r="Q96" i="4"/>
  <c r="P96" i="4"/>
  <c r="O96" i="4"/>
  <c r="N96" i="4"/>
  <c r="M96" i="4"/>
  <c r="Q97" i="4"/>
  <c r="P97" i="4"/>
  <c r="O97" i="4"/>
  <c r="N97" i="4"/>
  <c r="M97" i="4"/>
  <c r="M143" i="2"/>
  <c r="S118" i="2"/>
  <c r="R118" i="2"/>
  <c r="Q118" i="2"/>
  <c r="P118" i="2"/>
  <c r="O118" i="2"/>
  <c r="N118" i="2"/>
  <c r="M118" i="2"/>
  <c r="L118" i="2"/>
  <c r="Q68" i="4" l="1"/>
  <c r="O88" i="3"/>
  <c r="L32" i="3"/>
  <c r="P88" i="3"/>
  <c r="L40" i="1"/>
  <c r="L162" i="1" s="1"/>
  <c r="O40" i="1"/>
  <c r="M76" i="1"/>
  <c r="N92" i="1"/>
  <c r="N76" i="1" s="1"/>
  <c r="O92" i="1"/>
  <c r="S73" i="1"/>
  <c r="S68" i="1" s="1"/>
  <c r="S40" i="1" s="1"/>
  <c r="S162" i="1" s="1"/>
  <c r="P73" i="1"/>
  <c r="P68" i="1" s="1"/>
  <c r="P40" i="1" s="1"/>
  <c r="P162" i="1" s="1"/>
  <c r="O69" i="1"/>
  <c r="O68" i="1" s="1"/>
  <c r="N73" i="1"/>
  <c r="D18" i="5"/>
  <c r="Q76" i="1"/>
  <c r="R76" i="1"/>
  <c r="S92" i="1"/>
  <c r="S76" i="1" s="1"/>
  <c r="O76" i="1"/>
  <c r="P76" i="1"/>
  <c r="Q69" i="1"/>
  <c r="Q68" i="1" s="1"/>
  <c r="Q40" i="1" s="1"/>
  <c r="Q162" i="1" s="1"/>
  <c r="N69" i="1"/>
  <c r="M69" i="1"/>
  <c r="M68" i="1" s="1"/>
  <c r="M40" i="1" s="1"/>
  <c r="M162" i="1" s="1"/>
  <c r="R69" i="1"/>
  <c r="R68" i="1" s="1"/>
  <c r="R40" i="1" s="1"/>
  <c r="R162" i="1" s="1"/>
  <c r="M69" i="4"/>
  <c r="M68" i="4" s="1"/>
  <c r="N69" i="4"/>
  <c r="N68" i="4" s="1"/>
  <c r="Q88" i="3"/>
  <c r="L31" i="3"/>
  <c r="L172" i="3" s="1"/>
  <c r="M88" i="3"/>
  <c r="N88" i="3"/>
  <c r="S138" i="3"/>
  <c r="S137" i="3" s="1"/>
  <c r="M138" i="3"/>
  <c r="M137" i="3" s="1"/>
  <c r="N138" i="3"/>
  <c r="N137" i="3" s="1"/>
  <c r="O138" i="3"/>
  <c r="O137" i="3" s="1"/>
  <c r="P138" i="3"/>
  <c r="P137" i="3" s="1"/>
  <c r="Q138" i="3"/>
  <c r="Q137" i="3" s="1"/>
  <c r="R138" i="3"/>
  <c r="R137" i="3" s="1"/>
  <c r="M134" i="3"/>
  <c r="N134" i="3"/>
  <c r="O134" i="3"/>
  <c r="P134" i="3"/>
  <c r="Q134" i="3"/>
  <c r="S134" i="3"/>
  <c r="M119" i="3"/>
  <c r="N119" i="3"/>
  <c r="O119" i="3"/>
  <c r="P119" i="3"/>
  <c r="Q119" i="3"/>
  <c r="R119" i="3"/>
  <c r="S119" i="3"/>
  <c r="M116" i="3"/>
  <c r="N116" i="3"/>
  <c r="O116" i="3"/>
  <c r="P116" i="3"/>
  <c r="Q116" i="3"/>
  <c r="R116" i="3"/>
  <c r="S116" i="3"/>
  <c r="M106" i="3"/>
  <c r="N106" i="3"/>
  <c r="O106" i="3"/>
  <c r="P106" i="3"/>
  <c r="Q106" i="3"/>
  <c r="R106" i="3"/>
  <c r="S106" i="3"/>
  <c r="M98" i="3"/>
  <c r="N98" i="3"/>
  <c r="O98" i="3"/>
  <c r="P98" i="3"/>
  <c r="Q98" i="3"/>
  <c r="R98" i="3"/>
  <c r="S98" i="3"/>
  <c r="M95" i="3"/>
  <c r="N95" i="3"/>
  <c r="O95" i="3"/>
  <c r="P95" i="3"/>
  <c r="Q95" i="3"/>
  <c r="Q94" i="3" s="1"/>
  <c r="R95" i="3"/>
  <c r="R94" i="3" s="1"/>
  <c r="R87" i="3" s="1"/>
  <c r="S95" i="3"/>
  <c r="M82" i="3"/>
  <c r="N82" i="3"/>
  <c r="O82" i="3"/>
  <c r="P82" i="3"/>
  <c r="Q82" i="3"/>
  <c r="R82" i="3"/>
  <c r="S82" i="3"/>
  <c r="M78" i="3"/>
  <c r="N78" i="3"/>
  <c r="O78" i="3"/>
  <c r="O77" i="3" s="1"/>
  <c r="P78" i="3"/>
  <c r="P77" i="3" s="1"/>
  <c r="Q78" i="3"/>
  <c r="R78" i="3"/>
  <c r="S78" i="3"/>
  <c r="M68" i="3"/>
  <c r="M67" i="3" s="1"/>
  <c r="N68" i="3"/>
  <c r="N67" i="3" s="1"/>
  <c r="O68" i="3"/>
  <c r="O67" i="3" s="1"/>
  <c r="P68" i="3"/>
  <c r="P67" i="3" s="1"/>
  <c r="Q68" i="3"/>
  <c r="Q67" i="3" s="1"/>
  <c r="R68" i="3"/>
  <c r="R67" i="3" s="1"/>
  <c r="S68" i="3"/>
  <c r="S67" i="3" s="1"/>
  <c r="M62" i="3"/>
  <c r="N62" i="3"/>
  <c r="O62" i="3"/>
  <c r="P62" i="3"/>
  <c r="Q62" i="3"/>
  <c r="R62" i="3"/>
  <c r="S62" i="3"/>
  <c r="M41" i="3"/>
  <c r="N41" i="3"/>
  <c r="O41" i="3"/>
  <c r="P41" i="3"/>
  <c r="Q41" i="3"/>
  <c r="R41" i="3"/>
  <c r="S41" i="3"/>
  <c r="M33" i="3"/>
  <c r="N33" i="3"/>
  <c r="O33" i="3"/>
  <c r="P33" i="3"/>
  <c r="Q33" i="3"/>
  <c r="R33" i="3"/>
  <c r="S33" i="3"/>
  <c r="M93" i="4"/>
  <c r="M91" i="4" s="1"/>
  <c r="N93" i="4"/>
  <c r="N91" i="4" s="1"/>
  <c r="O93" i="4"/>
  <c r="O91" i="4" s="1"/>
  <c r="P93" i="4"/>
  <c r="P91" i="4" s="1"/>
  <c r="Q93" i="4"/>
  <c r="Q91" i="4" s="1"/>
  <c r="M88" i="4"/>
  <c r="N88" i="4"/>
  <c r="O88" i="4"/>
  <c r="P88" i="4"/>
  <c r="Q88" i="4"/>
  <c r="M85" i="4"/>
  <c r="N85" i="4"/>
  <c r="O85" i="4"/>
  <c r="P85" i="4"/>
  <c r="Q85" i="4"/>
  <c r="M82" i="4"/>
  <c r="M80" i="4" s="1"/>
  <c r="N82" i="4"/>
  <c r="N80" i="4" s="1"/>
  <c r="O82" i="4"/>
  <c r="O80" i="4" s="1"/>
  <c r="P82" i="4"/>
  <c r="P80" i="4" s="1"/>
  <c r="Q82" i="4"/>
  <c r="Q80" i="4" s="1"/>
  <c r="M77" i="4"/>
  <c r="N77" i="4"/>
  <c r="O77" i="4"/>
  <c r="P77" i="4"/>
  <c r="Q77" i="4"/>
  <c r="M65" i="4"/>
  <c r="N65" i="4"/>
  <c r="O65" i="4"/>
  <c r="P65" i="4"/>
  <c r="Q65" i="4"/>
  <c r="M61" i="4"/>
  <c r="Q61" i="4"/>
  <c r="P61" i="4"/>
  <c r="O61" i="4"/>
  <c r="N61" i="4"/>
  <c r="M56" i="4"/>
  <c r="Q56" i="4"/>
  <c r="P56" i="4"/>
  <c r="O56" i="4"/>
  <c r="N56" i="4"/>
  <c r="M52" i="4"/>
  <c r="Q52" i="4"/>
  <c r="P52" i="4"/>
  <c r="O52" i="4"/>
  <c r="N52" i="4"/>
  <c r="M35" i="4"/>
  <c r="Q35" i="4"/>
  <c r="P35" i="4"/>
  <c r="O35" i="4"/>
  <c r="N35" i="4"/>
  <c r="M29" i="4"/>
  <c r="M28" i="4" s="1"/>
  <c r="Q29" i="4"/>
  <c r="P29" i="4"/>
  <c r="O29" i="4"/>
  <c r="N29" i="4"/>
  <c r="S140" i="2"/>
  <c r="R140" i="2"/>
  <c r="Q140" i="2"/>
  <c r="P140" i="2"/>
  <c r="O140" i="2"/>
  <c r="N140" i="2"/>
  <c r="M140" i="2"/>
  <c r="L140" i="2"/>
  <c r="S136" i="2"/>
  <c r="R136" i="2"/>
  <c r="Q136" i="2"/>
  <c r="P136" i="2"/>
  <c r="O136" i="2"/>
  <c r="N136" i="2"/>
  <c r="M136" i="2"/>
  <c r="L136" i="2"/>
  <c r="S124" i="2"/>
  <c r="R124" i="2"/>
  <c r="Q124" i="2"/>
  <c r="P124" i="2"/>
  <c r="O124" i="2"/>
  <c r="N124" i="2"/>
  <c r="M124" i="2"/>
  <c r="L124" i="2"/>
  <c r="Q129" i="2"/>
  <c r="P129" i="2"/>
  <c r="L116" i="2"/>
  <c r="L115" i="2"/>
  <c r="M115" i="2" s="1"/>
  <c r="L114" i="2"/>
  <c r="Q114" i="2" s="1"/>
  <c r="L113" i="2"/>
  <c r="S112" i="2"/>
  <c r="L109" i="2"/>
  <c r="N109" i="2" s="1"/>
  <c r="L108" i="2"/>
  <c r="N108" i="2" s="1"/>
  <c r="R107" i="2"/>
  <c r="L106" i="2"/>
  <c r="M106" i="2" s="1"/>
  <c r="L105" i="2"/>
  <c r="O105" i="2" s="1"/>
  <c r="L103" i="2"/>
  <c r="M103" i="2" s="1"/>
  <c r="M102" i="2" s="1"/>
  <c r="L101" i="2"/>
  <c r="Q101" i="2" s="1"/>
  <c r="Q100" i="2" s="1"/>
  <c r="L98" i="2"/>
  <c r="Q98" i="2" s="1"/>
  <c r="Q97" i="2" s="1"/>
  <c r="L96" i="2"/>
  <c r="R96" i="2" s="1"/>
  <c r="R95" i="2" s="1"/>
  <c r="L94" i="2"/>
  <c r="M94" i="2" s="1"/>
  <c r="M93" i="2" s="1"/>
  <c r="L91" i="2"/>
  <c r="M91" i="2" s="1"/>
  <c r="M90" i="2" s="1"/>
  <c r="L89" i="2"/>
  <c r="Q89" i="2" s="1"/>
  <c r="Q88" i="2" s="1"/>
  <c r="L85" i="2"/>
  <c r="M85" i="2" s="1"/>
  <c r="M84" i="2" s="1"/>
  <c r="L83" i="2"/>
  <c r="Q83" i="2" s="1"/>
  <c r="L82" i="2"/>
  <c r="M82" i="2" s="1"/>
  <c r="L81" i="2"/>
  <c r="L77" i="2"/>
  <c r="Q77" i="2" s="1"/>
  <c r="L76" i="2"/>
  <c r="M76" i="2" s="1"/>
  <c r="L74" i="2"/>
  <c r="Q74" i="2" s="1"/>
  <c r="L73" i="2"/>
  <c r="M73" i="2" s="1"/>
  <c r="L72" i="2"/>
  <c r="R72" i="2" s="1"/>
  <c r="L69" i="2"/>
  <c r="O69" i="2" s="1"/>
  <c r="O68" i="2" s="1"/>
  <c r="L67" i="2"/>
  <c r="M67" i="2" s="1"/>
  <c r="M66" i="2" s="1"/>
  <c r="L64" i="2"/>
  <c r="M64" i="2" s="1"/>
  <c r="L63" i="2"/>
  <c r="O63" i="2" s="1"/>
  <c r="L62" i="2"/>
  <c r="Q62" i="2" s="1"/>
  <c r="L61" i="2"/>
  <c r="M61" i="2" s="1"/>
  <c r="L60" i="2"/>
  <c r="O60" i="2" s="1"/>
  <c r="L59" i="2"/>
  <c r="Q59" i="2" s="1"/>
  <c r="L58" i="2"/>
  <c r="M58" i="2" s="1"/>
  <c r="L57" i="2"/>
  <c r="R57" i="2" s="1"/>
  <c r="L56" i="2"/>
  <c r="Q56" i="2" s="1"/>
  <c r="L55" i="2"/>
  <c r="M55" i="2" s="1"/>
  <c r="L54" i="2"/>
  <c r="O54" i="2" s="1"/>
  <c r="L53" i="2"/>
  <c r="Q53" i="2" s="1"/>
  <c r="L52" i="2"/>
  <c r="M52" i="2" s="1"/>
  <c r="L51" i="2"/>
  <c r="N51" i="2" s="1"/>
  <c r="L49" i="2"/>
  <c r="M49" i="2" s="1"/>
  <c r="L48" i="2"/>
  <c r="N48" i="2" s="1"/>
  <c r="L47" i="2"/>
  <c r="Q47" i="2" s="1"/>
  <c r="L46" i="2"/>
  <c r="M46" i="2" s="1"/>
  <c r="L45" i="2"/>
  <c r="L44" i="2"/>
  <c r="Q44" i="2" s="1"/>
  <c r="L43" i="2"/>
  <c r="M43" i="2" s="1"/>
  <c r="L42" i="2"/>
  <c r="Q42" i="2" s="1"/>
  <c r="L41" i="2"/>
  <c r="Q41" i="2" s="1"/>
  <c r="L40" i="2"/>
  <c r="M40" i="2" s="1"/>
  <c r="L39" i="2"/>
  <c r="R39" i="2" s="1"/>
  <c r="L35" i="2"/>
  <c r="R35" i="2" s="1"/>
  <c r="L34" i="2"/>
  <c r="R34" i="2" s="1"/>
  <c r="L33" i="2"/>
  <c r="S32" i="2"/>
  <c r="L31" i="2"/>
  <c r="P31" i="2" s="1"/>
  <c r="L30" i="2"/>
  <c r="R30" i="2" s="1"/>
  <c r="L29" i="2"/>
  <c r="R29" i="2" s="1"/>
  <c r="L28" i="2"/>
  <c r="S27" i="2"/>
  <c r="L26" i="2"/>
  <c r="P26" i="2" s="1"/>
  <c r="L25" i="2"/>
  <c r="M25" i="2" s="1"/>
  <c r="S24" i="2"/>
  <c r="L23" i="2"/>
  <c r="L22" i="2" s="1"/>
  <c r="S22" i="2"/>
  <c r="O60" i="4" l="1"/>
  <c r="O59" i="4" s="1"/>
  <c r="N51" i="4"/>
  <c r="P60" i="4"/>
  <c r="P59" i="4" s="1"/>
  <c r="Q60" i="4"/>
  <c r="Q59" i="4" s="1"/>
  <c r="Q121" i="4" s="1"/>
  <c r="S77" i="3"/>
  <c r="R77" i="3"/>
  <c r="M94" i="3"/>
  <c r="Q77" i="3"/>
  <c r="S94" i="3"/>
  <c r="S87" i="3" s="1"/>
  <c r="N68" i="1"/>
  <c r="N40" i="1" s="1"/>
  <c r="N162" i="1" s="1"/>
  <c r="O162" i="1"/>
  <c r="O51" i="4"/>
  <c r="N28" i="4"/>
  <c r="N27" i="4" s="1"/>
  <c r="N121" i="4" s="1"/>
  <c r="P51" i="4"/>
  <c r="M60" i="4"/>
  <c r="M59" i="4" s="1"/>
  <c r="O28" i="4"/>
  <c r="O27" i="4" s="1"/>
  <c r="Q51" i="4"/>
  <c r="N60" i="4"/>
  <c r="N59" i="4" s="1"/>
  <c r="P28" i="4"/>
  <c r="M51" i="4"/>
  <c r="M27" i="4" s="1"/>
  <c r="Q28" i="4"/>
  <c r="Q27" i="4" s="1"/>
  <c r="O32" i="3"/>
  <c r="O31" i="3" s="1"/>
  <c r="M32" i="3"/>
  <c r="M31" i="3" s="1"/>
  <c r="N32" i="3"/>
  <c r="N31" i="3" s="1"/>
  <c r="N77" i="3"/>
  <c r="M77" i="3"/>
  <c r="O94" i="3"/>
  <c r="O87" i="3" s="1"/>
  <c r="M87" i="3"/>
  <c r="P94" i="3"/>
  <c r="P87" i="3" s="1"/>
  <c r="N87" i="3"/>
  <c r="N94" i="3"/>
  <c r="S32" i="3"/>
  <c r="S31" i="3" s="1"/>
  <c r="R32" i="3"/>
  <c r="R31" i="3" s="1"/>
  <c r="Q32" i="3"/>
  <c r="Q31" i="3" s="1"/>
  <c r="Q87" i="3"/>
  <c r="P32" i="3"/>
  <c r="P31" i="3" s="1"/>
  <c r="S105" i="3"/>
  <c r="R105" i="3"/>
  <c r="R76" i="3" s="1"/>
  <c r="Q105" i="3"/>
  <c r="P105" i="3"/>
  <c r="O105" i="3"/>
  <c r="N105" i="3"/>
  <c r="M105" i="3"/>
  <c r="O49" i="2"/>
  <c r="P115" i="2"/>
  <c r="L93" i="2"/>
  <c r="M41" i="2"/>
  <c r="O40" i="2"/>
  <c r="N58" i="2"/>
  <c r="R44" i="2"/>
  <c r="Q64" i="2"/>
  <c r="Q40" i="2"/>
  <c r="N49" i="2"/>
  <c r="Q58" i="2"/>
  <c r="S53" i="2"/>
  <c r="O83" i="2"/>
  <c r="R58" i="2"/>
  <c r="S98" i="2"/>
  <c r="S97" i="2" s="1"/>
  <c r="S58" i="2"/>
  <c r="R101" i="2"/>
  <c r="R100" i="2" s="1"/>
  <c r="N115" i="2"/>
  <c r="R74" i="2"/>
  <c r="Q103" i="2"/>
  <c r="Q102" i="2" s="1"/>
  <c r="Q99" i="2" s="1"/>
  <c r="O55" i="2"/>
  <c r="S47" i="2"/>
  <c r="P55" i="2"/>
  <c r="O62" i="2"/>
  <c r="Q94" i="2"/>
  <c r="Q93" i="2" s="1"/>
  <c r="Q92" i="2" s="1"/>
  <c r="R62" i="2"/>
  <c r="R94" i="2"/>
  <c r="R93" i="2" s="1"/>
  <c r="R92" i="2" s="1"/>
  <c r="S94" i="2"/>
  <c r="S93" i="2" s="1"/>
  <c r="S82" i="2"/>
  <c r="M89" i="2"/>
  <c r="M88" i="2" s="1"/>
  <c r="M87" i="2" s="1"/>
  <c r="R103" i="2"/>
  <c r="R102" i="2" s="1"/>
  <c r="O109" i="2"/>
  <c r="M26" i="2"/>
  <c r="M24" i="2" s="1"/>
  <c r="N39" i="2"/>
  <c r="S62" i="2"/>
  <c r="Q73" i="2"/>
  <c r="O82" i="2"/>
  <c r="N89" i="2"/>
  <c r="N88" i="2" s="1"/>
  <c r="M101" i="2"/>
  <c r="M100" i="2" s="1"/>
  <c r="M99" i="2" s="1"/>
  <c r="S103" i="2"/>
  <c r="S102" i="2" s="1"/>
  <c r="P109" i="2"/>
  <c r="O39" i="2"/>
  <c r="P82" i="2"/>
  <c r="O89" i="2"/>
  <c r="O88" i="2" s="1"/>
  <c r="N101" i="2"/>
  <c r="N100" i="2" s="1"/>
  <c r="Q109" i="2"/>
  <c r="S44" i="2"/>
  <c r="O59" i="2"/>
  <c r="N74" i="2"/>
  <c r="Q82" i="2"/>
  <c r="R89" i="2"/>
  <c r="R88" i="2" s="1"/>
  <c r="R87" i="2" s="1"/>
  <c r="L97" i="2"/>
  <c r="O101" i="2"/>
  <c r="O100" i="2" s="1"/>
  <c r="M105" i="2"/>
  <c r="M104" i="2" s="1"/>
  <c r="N40" i="2"/>
  <c r="S49" i="2"/>
  <c r="R59" i="2"/>
  <c r="P64" i="2"/>
  <c r="O74" i="2"/>
  <c r="R82" i="2"/>
  <c r="S89" i="2"/>
  <c r="S88" i="2" s="1"/>
  <c r="S87" i="2" s="1"/>
  <c r="P101" i="2"/>
  <c r="P100" i="2" s="1"/>
  <c r="N105" i="2"/>
  <c r="L112" i="2"/>
  <c r="M30" i="2"/>
  <c r="P40" i="2"/>
  <c r="Q46" i="2"/>
  <c r="M57" i="2"/>
  <c r="Q60" i="2"/>
  <c r="S74" i="2"/>
  <c r="R91" i="2"/>
  <c r="R90" i="2" s="1"/>
  <c r="M98" i="2"/>
  <c r="M97" i="2" s="1"/>
  <c r="L102" i="2"/>
  <c r="Q106" i="2"/>
  <c r="N57" i="2"/>
  <c r="S91" i="2"/>
  <c r="S90" i="2" s="1"/>
  <c r="R106" i="2"/>
  <c r="N47" i="2"/>
  <c r="M53" i="2"/>
  <c r="Q67" i="2"/>
  <c r="Q66" i="2" s="1"/>
  <c r="R76" i="2"/>
  <c r="R83" i="2"/>
  <c r="O98" i="2"/>
  <c r="O97" i="2" s="1"/>
  <c r="N103" i="2"/>
  <c r="N102" i="2" s="1"/>
  <c r="S106" i="2"/>
  <c r="O115" i="2"/>
  <c r="R60" i="2"/>
  <c r="O47" i="2"/>
  <c r="O53" i="2"/>
  <c r="S76" i="2"/>
  <c r="P98" i="2"/>
  <c r="P97" i="2" s="1"/>
  <c r="O103" i="2"/>
  <c r="O102" i="2" s="1"/>
  <c r="N98" i="2"/>
  <c r="N97" i="2" s="1"/>
  <c r="N41" i="2"/>
  <c r="R47" i="2"/>
  <c r="R53" i="2"/>
  <c r="P58" i="2"/>
  <c r="M62" i="2"/>
  <c r="N69" i="2"/>
  <c r="N68" i="2" s="1"/>
  <c r="L88" i="2"/>
  <c r="R98" i="2"/>
  <c r="R97" i="2" s="1"/>
  <c r="P103" i="2"/>
  <c r="P102" i="2" s="1"/>
  <c r="N107" i="2"/>
  <c r="P34" i="2"/>
  <c r="N85" i="2"/>
  <c r="N84" i="2" s="1"/>
  <c r="Q34" i="2"/>
  <c r="M72" i="2"/>
  <c r="O85" i="2"/>
  <c r="O84" i="2" s="1"/>
  <c r="N61" i="2"/>
  <c r="M39" i="2"/>
  <c r="R43" i="2"/>
  <c r="P46" i="2"/>
  <c r="Q52" i="2"/>
  <c r="N55" i="2"/>
  <c r="N59" i="2"/>
  <c r="Q61" i="2"/>
  <c r="O64" i="2"/>
  <c r="P67" i="2"/>
  <c r="P66" i="2" s="1"/>
  <c r="P73" i="2"/>
  <c r="R77" i="2"/>
  <c r="N83" i="2"/>
  <c r="S85" i="2"/>
  <c r="S84" i="2" s="1"/>
  <c r="L100" i="2"/>
  <c r="S129" i="2"/>
  <c r="S61" i="2"/>
  <c r="N56" i="2"/>
  <c r="R46" i="2"/>
  <c r="N76" i="2"/>
  <c r="M31" i="2"/>
  <c r="Q39" i="2"/>
  <c r="O41" i="2"/>
  <c r="M44" i="2"/>
  <c r="S46" i="2"/>
  <c r="P49" i="2"/>
  <c r="Q55" i="2"/>
  <c r="S59" i="2"/>
  <c r="R64" i="2"/>
  <c r="S67" i="2"/>
  <c r="S66" i="2" s="1"/>
  <c r="S73" i="2"/>
  <c r="O76" i="2"/>
  <c r="S83" i="2"/>
  <c r="O91" i="2"/>
  <c r="O90" i="2" s="1"/>
  <c r="N94" i="2"/>
  <c r="N93" i="2" s="1"/>
  <c r="N106" i="2"/>
  <c r="M56" i="2"/>
  <c r="S43" i="2"/>
  <c r="R61" i="2"/>
  <c r="R73" i="2"/>
  <c r="N91" i="2"/>
  <c r="N90" i="2" s="1"/>
  <c r="R41" i="2"/>
  <c r="N44" i="2"/>
  <c r="Q49" i="2"/>
  <c r="R55" i="2"/>
  <c r="S64" i="2"/>
  <c r="P76" i="2"/>
  <c r="N82" i="2"/>
  <c r="L84" i="2"/>
  <c r="P91" i="2"/>
  <c r="P90" i="2" s="1"/>
  <c r="O94" i="2"/>
  <c r="O93" i="2" s="1"/>
  <c r="O106" i="2"/>
  <c r="O104" i="2" s="1"/>
  <c r="S109" i="2"/>
  <c r="Q115" i="2"/>
  <c r="N43" i="2"/>
  <c r="S21" i="2"/>
  <c r="R52" i="2"/>
  <c r="S77" i="2"/>
  <c r="S52" i="2"/>
  <c r="R67" i="2"/>
  <c r="R66" i="2" s="1"/>
  <c r="S41" i="2"/>
  <c r="O44" i="2"/>
  <c r="M47" i="2"/>
  <c r="R49" i="2"/>
  <c r="N53" i="2"/>
  <c r="S55" i="2"/>
  <c r="O58" i="2"/>
  <c r="N62" i="2"/>
  <c r="L66" i="2"/>
  <c r="M69" i="2"/>
  <c r="M68" i="2" s="1"/>
  <c r="M65" i="2" s="1"/>
  <c r="M74" i="2"/>
  <c r="Q76" i="2"/>
  <c r="Q75" i="2" s="1"/>
  <c r="Q91" i="2"/>
  <c r="Q90" i="2" s="1"/>
  <c r="Q87" i="2" s="1"/>
  <c r="Q86" i="2" s="1"/>
  <c r="P94" i="2"/>
  <c r="P93" i="2" s="1"/>
  <c r="P106" i="2"/>
  <c r="R115" i="2"/>
  <c r="M114" i="2"/>
  <c r="O43" i="2"/>
  <c r="N52" i="2"/>
  <c r="P85" i="2"/>
  <c r="P84" i="2" s="1"/>
  <c r="P29" i="2"/>
  <c r="M35" i="2"/>
  <c r="R40" i="2"/>
  <c r="P43" i="2"/>
  <c r="N46" i="2"/>
  <c r="O52" i="2"/>
  <c r="R54" i="2"/>
  <c r="R56" i="2"/>
  <c r="O61" i="2"/>
  <c r="N67" i="2"/>
  <c r="N66" i="2" s="1"/>
  <c r="N73" i="2"/>
  <c r="L75" i="2"/>
  <c r="N77" i="2"/>
  <c r="Q85" i="2"/>
  <c r="Q84" i="2" s="1"/>
  <c r="P114" i="2"/>
  <c r="O56" i="2"/>
  <c r="M77" i="2"/>
  <c r="M75" i="2" s="1"/>
  <c r="N114" i="2"/>
  <c r="Q29" i="2"/>
  <c r="S40" i="2"/>
  <c r="Q43" i="2"/>
  <c r="O46" i="2"/>
  <c r="R48" i="2"/>
  <c r="P52" i="2"/>
  <c r="S56" i="2"/>
  <c r="M59" i="2"/>
  <c r="P61" i="2"/>
  <c r="N64" i="2"/>
  <c r="O67" i="2"/>
  <c r="O66" i="2" s="1"/>
  <c r="O65" i="2" s="1"/>
  <c r="O73" i="2"/>
  <c r="O77" i="2"/>
  <c r="M83" i="2"/>
  <c r="R85" i="2"/>
  <c r="R84" i="2" s="1"/>
  <c r="L90" i="2"/>
  <c r="S101" i="2"/>
  <c r="S100" i="2" s="1"/>
  <c r="S108" i="2"/>
  <c r="R129" i="2"/>
  <c r="P81" i="2"/>
  <c r="L80" i="2"/>
  <c r="S81" i="2"/>
  <c r="P23" i="2"/>
  <c r="P22" i="2" s="1"/>
  <c r="Q30" i="2"/>
  <c r="M33" i="2"/>
  <c r="R33" i="2"/>
  <c r="R32" i="2" s="1"/>
  <c r="P33" i="2"/>
  <c r="Q33" i="2"/>
  <c r="L32" i="2"/>
  <c r="R69" i="2"/>
  <c r="R68" i="2" s="1"/>
  <c r="N96" i="2"/>
  <c r="N95" i="2" s="1"/>
  <c r="R105" i="2"/>
  <c r="N26" i="2"/>
  <c r="M54" i="2"/>
  <c r="Q63" i="2"/>
  <c r="N72" i="2"/>
  <c r="O96" i="2"/>
  <c r="O95" i="2" s="1"/>
  <c r="M116" i="2"/>
  <c r="R116" i="2"/>
  <c r="Q116" i="2"/>
  <c r="P116" i="2"/>
  <c r="M129" i="2"/>
  <c r="O26" i="2"/>
  <c r="M29" i="2"/>
  <c r="O31" i="2"/>
  <c r="M34" i="2"/>
  <c r="N54" i="2"/>
  <c r="P60" i="2"/>
  <c r="S60" i="2"/>
  <c r="R63" i="2"/>
  <c r="O72" i="2"/>
  <c r="Q96" i="2"/>
  <c r="Q95" i="2" s="1"/>
  <c r="O114" i="2"/>
  <c r="R114" i="2"/>
  <c r="N116" i="2"/>
  <c r="N129" i="2"/>
  <c r="P45" i="2"/>
  <c r="S45" i="2"/>
  <c r="M51" i="2"/>
  <c r="Q25" i="2"/>
  <c r="Q35" i="2"/>
  <c r="Q51" i="2"/>
  <c r="Q81" i="2"/>
  <c r="M28" i="2"/>
  <c r="R28" i="2"/>
  <c r="Q28" i="2"/>
  <c r="P28" i="2"/>
  <c r="L27" i="2"/>
  <c r="P42" i="2"/>
  <c r="S42" i="2"/>
  <c r="R45" i="2"/>
  <c r="R51" i="2"/>
  <c r="O57" i="2"/>
  <c r="M63" i="2"/>
  <c r="O28" i="2"/>
  <c r="N42" i="2"/>
  <c r="P48" i="2"/>
  <c r="S48" i="2"/>
  <c r="P108" i="2"/>
  <c r="L107" i="2"/>
  <c r="N31" i="2"/>
  <c r="Q26" i="2"/>
  <c r="N29" i="2"/>
  <c r="Q31" i="2"/>
  <c r="N34" i="2"/>
  <c r="P39" i="2"/>
  <c r="L38" i="2"/>
  <c r="S39" i="2"/>
  <c r="R42" i="2"/>
  <c r="O48" i="2"/>
  <c r="M60" i="2"/>
  <c r="Q72" i="2"/>
  <c r="O108" i="2"/>
  <c r="O116" i="2"/>
  <c r="M45" i="2"/>
  <c r="N25" i="2"/>
  <c r="O51" i="2"/>
  <c r="Q45" i="2"/>
  <c r="R25" i="2"/>
  <c r="O113" i="2"/>
  <c r="N113" i="2"/>
  <c r="M113" i="2"/>
  <c r="O33" i="2"/>
  <c r="P54" i="2"/>
  <c r="S54" i="2"/>
  <c r="Q113" i="2"/>
  <c r="O42" i="2"/>
  <c r="M48" i="2"/>
  <c r="M108" i="2"/>
  <c r="R113" i="2"/>
  <c r="R26" i="2"/>
  <c r="O29" i="2"/>
  <c r="R31" i="2"/>
  <c r="O34" i="2"/>
  <c r="Q48" i="2"/>
  <c r="Q54" i="2"/>
  <c r="N60" i="2"/>
  <c r="Q108" i="2"/>
  <c r="N23" i="2"/>
  <c r="N22" i="2" s="1"/>
  <c r="R23" i="2"/>
  <c r="R22" i="2" s="1"/>
  <c r="M23" i="2"/>
  <c r="M22" i="2" s="1"/>
  <c r="P30" i="2"/>
  <c r="N30" i="2"/>
  <c r="O30" i="2"/>
  <c r="P35" i="2"/>
  <c r="N35" i="2"/>
  <c r="O35" i="2"/>
  <c r="N45" i="2"/>
  <c r="P57" i="2"/>
  <c r="S57" i="2"/>
  <c r="P69" i="2"/>
  <c r="P68" i="2" s="1"/>
  <c r="L68" i="2"/>
  <c r="S69" i="2"/>
  <c r="S68" i="2" s="1"/>
  <c r="N81" i="2"/>
  <c r="P105" i="2"/>
  <c r="L104" i="2"/>
  <c r="S105" i="2"/>
  <c r="P51" i="2"/>
  <c r="L50" i="2"/>
  <c r="S51" i="2"/>
  <c r="P25" i="2"/>
  <c r="P24" i="2" s="1"/>
  <c r="L24" i="2"/>
  <c r="O25" i="2"/>
  <c r="O45" i="2"/>
  <c r="O81" i="2"/>
  <c r="M81" i="2"/>
  <c r="O23" i="2"/>
  <c r="O22" i="2" s="1"/>
  <c r="P63" i="2"/>
  <c r="S63" i="2"/>
  <c r="Q23" i="2"/>
  <c r="Q22" i="2" s="1"/>
  <c r="R81" i="2"/>
  <c r="P96" i="2"/>
  <c r="P95" i="2" s="1"/>
  <c r="L95" i="2"/>
  <c r="S96" i="2"/>
  <c r="S95" i="2" s="1"/>
  <c r="N28" i="2"/>
  <c r="N33" i="2"/>
  <c r="M42" i="2"/>
  <c r="Q57" i="2"/>
  <c r="N63" i="2"/>
  <c r="Q69" i="2"/>
  <c r="Q68" i="2" s="1"/>
  <c r="P72" i="2"/>
  <c r="L71" i="2"/>
  <c r="S72" i="2"/>
  <c r="M96" i="2"/>
  <c r="M95" i="2" s="1"/>
  <c r="M92" i="2" s="1"/>
  <c r="Q105" i="2"/>
  <c r="P113" i="2"/>
  <c r="P41" i="2"/>
  <c r="P44" i="2"/>
  <c r="P47" i="2"/>
  <c r="P53" i="2"/>
  <c r="P56" i="2"/>
  <c r="P59" i="2"/>
  <c r="P62" i="2"/>
  <c r="P74" i="2"/>
  <c r="P77" i="2"/>
  <c r="P83" i="2"/>
  <c r="P89" i="2"/>
  <c r="P88" i="2" s="1"/>
  <c r="M109" i="2"/>
  <c r="O121" i="4" l="1"/>
  <c r="M121" i="4"/>
  <c r="S76" i="3"/>
  <c r="S172" i="3" s="1"/>
  <c r="R86" i="2"/>
  <c r="P87" i="2"/>
  <c r="O87" i="2"/>
  <c r="L87" i="2"/>
  <c r="S92" i="2"/>
  <c r="M86" i="2"/>
  <c r="O92" i="2"/>
  <c r="L92" i="2"/>
  <c r="P92" i="2"/>
  <c r="N87" i="2"/>
  <c r="S86" i="2"/>
  <c r="P86" i="2"/>
  <c r="N92" i="2"/>
  <c r="P27" i="4"/>
  <c r="P121" i="4" s="1"/>
  <c r="M76" i="3"/>
  <c r="M172" i="3" s="1"/>
  <c r="Q76" i="3"/>
  <c r="Q172" i="3" s="1"/>
  <c r="P76" i="3"/>
  <c r="P172" i="3" s="1"/>
  <c r="R172" i="3"/>
  <c r="N76" i="3"/>
  <c r="N172" i="3" s="1"/>
  <c r="O76" i="3"/>
  <c r="O172" i="3" s="1"/>
  <c r="O99" i="2"/>
  <c r="N65" i="2"/>
  <c r="N99" i="2"/>
  <c r="O107" i="2"/>
  <c r="P104" i="2"/>
  <c r="R71" i="2"/>
  <c r="P107" i="2"/>
  <c r="P99" i="2"/>
  <c r="Q80" i="2"/>
  <c r="Q79" i="2" s="1"/>
  <c r="S99" i="2"/>
  <c r="L99" i="2"/>
  <c r="S75" i="2"/>
  <c r="R99" i="2"/>
  <c r="S104" i="2"/>
  <c r="P75" i="2"/>
  <c r="O24" i="2"/>
  <c r="R80" i="2"/>
  <c r="R79" i="2" s="1"/>
  <c r="M107" i="2"/>
  <c r="Q65" i="2"/>
  <c r="N71" i="2"/>
  <c r="R65" i="2"/>
  <c r="Q38" i="2"/>
  <c r="O80" i="2"/>
  <c r="O79" i="2" s="1"/>
  <c r="S65" i="2"/>
  <c r="L70" i="2"/>
  <c r="O112" i="2"/>
  <c r="O71" i="2"/>
  <c r="P32" i="2"/>
  <c r="S107" i="2"/>
  <c r="R104" i="2"/>
  <c r="O75" i="2"/>
  <c r="N75" i="2"/>
  <c r="Q104" i="2"/>
  <c r="N38" i="2"/>
  <c r="M27" i="2"/>
  <c r="P65" i="2"/>
  <c r="L65" i="2"/>
  <c r="O27" i="2"/>
  <c r="R75" i="2"/>
  <c r="R112" i="2"/>
  <c r="R110" i="2" s="1"/>
  <c r="Q71" i="2"/>
  <c r="Q70" i="2" s="1"/>
  <c r="M71" i="2"/>
  <c r="M70" i="2" s="1"/>
  <c r="M38" i="2"/>
  <c r="N104" i="2"/>
  <c r="Q107" i="2"/>
  <c r="S110" i="2"/>
  <c r="O129" i="2"/>
  <c r="N80" i="2"/>
  <c r="N79" i="2" s="1"/>
  <c r="N24" i="2"/>
  <c r="S80" i="2"/>
  <c r="S79" i="2" s="1"/>
  <c r="S50" i="2"/>
  <c r="L129" i="2"/>
  <c r="L79" i="2"/>
  <c r="Q27" i="2"/>
  <c r="L21" i="2"/>
  <c r="R38" i="2"/>
  <c r="P27" i="2"/>
  <c r="N112" i="2"/>
  <c r="N110" i="2" s="1"/>
  <c r="L37" i="2"/>
  <c r="R27" i="2"/>
  <c r="Q32" i="2"/>
  <c r="M32" i="2"/>
  <c r="S71" i="2"/>
  <c r="M80" i="2"/>
  <c r="M79" i="2" s="1"/>
  <c r="O38" i="2"/>
  <c r="N50" i="2"/>
  <c r="R50" i="2"/>
  <c r="Q24" i="2"/>
  <c r="P38" i="2"/>
  <c r="P71" i="2"/>
  <c r="Q112" i="2"/>
  <c r="O50" i="2"/>
  <c r="O32" i="2"/>
  <c r="N32" i="2"/>
  <c r="M50" i="2"/>
  <c r="S38" i="2"/>
  <c r="R24" i="2"/>
  <c r="P50" i="2"/>
  <c r="Q50" i="2"/>
  <c r="P112" i="2"/>
  <c r="N27" i="2"/>
  <c r="M112" i="2"/>
  <c r="P80" i="2"/>
  <c r="P79" i="2" s="1"/>
  <c r="O86" i="2" l="1"/>
  <c r="N86" i="2"/>
  <c r="N78" i="2" s="1"/>
  <c r="L86" i="2"/>
  <c r="L78" i="2" s="1"/>
  <c r="L110" i="2"/>
  <c r="N37" i="2"/>
  <c r="O78" i="2"/>
  <c r="S78" i="2"/>
  <c r="O110" i="2"/>
  <c r="O70" i="2"/>
  <c r="R70" i="2"/>
  <c r="Q78" i="2"/>
  <c r="S37" i="2"/>
  <c r="M78" i="2"/>
  <c r="P78" i="2"/>
  <c r="O37" i="2"/>
  <c r="S70" i="2"/>
  <c r="M21" i="2"/>
  <c r="Q37" i="2"/>
  <c r="Q36" i="2" s="1"/>
  <c r="P70" i="2"/>
  <c r="R21" i="2"/>
  <c r="N70" i="2"/>
  <c r="R78" i="2"/>
  <c r="O21" i="2"/>
  <c r="P21" i="2"/>
  <c r="M37" i="2"/>
  <c r="M36" i="2" s="1"/>
  <c r="L36" i="2"/>
  <c r="Q110" i="2"/>
  <c r="Q21" i="2"/>
  <c r="N21" i="2"/>
  <c r="R37" i="2"/>
  <c r="M110" i="2"/>
  <c r="P37" i="2"/>
  <c r="P110" i="2"/>
  <c r="L144" i="2" l="1"/>
  <c r="N36" i="2"/>
  <c r="N144" i="2" s="1"/>
  <c r="R36" i="2"/>
  <c r="R144" i="2" s="1"/>
  <c r="O36" i="2"/>
  <c r="O144" i="2" s="1"/>
  <c r="S36" i="2"/>
  <c r="S144" i="2" s="1"/>
  <c r="P36" i="2"/>
  <c r="P144" i="2" s="1"/>
  <c r="M144" i="2"/>
  <c r="Q144" i="2"/>
</calcChain>
</file>

<file path=xl/sharedStrings.xml><?xml version="1.0" encoding="utf-8"?>
<sst xmlns="http://schemas.openxmlformats.org/spreadsheetml/2006/main" count="1579" uniqueCount="593">
  <si>
    <t>PLAN INTERNATIONAL BELGIUM - Goods and services delivered to beneficiaries
Humanitarian Programme 2023-2025</t>
  </si>
  <si>
    <t>Budget Line</t>
  </si>
  <si>
    <t>Goods and services delivered to beneficiaries</t>
  </si>
  <si>
    <t>TOTAL</t>
  </si>
  <si>
    <t>MALI</t>
  </si>
  <si>
    <t>NIGER</t>
  </si>
  <si>
    <t>UGANDA</t>
  </si>
  <si>
    <t>RWANDA</t>
  </si>
  <si>
    <t>S1.1</t>
  </si>
  <si>
    <t>Food security related goods and services</t>
  </si>
  <si>
    <t>S1.2</t>
  </si>
  <si>
    <t>Nutrition related goods and services</t>
  </si>
  <si>
    <t>S1.3</t>
  </si>
  <si>
    <t>Water and sanitation related goods and services</t>
  </si>
  <si>
    <t>S1.4</t>
  </si>
  <si>
    <t>Protection    </t>
  </si>
  <si>
    <t>S1.5</t>
  </si>
  <si>
    <t>Shelter and Non Food Items related goods and services</t>
  </si>
  <si>
    <t>S1.6</t>
  </si>
  <si>
    <t xml:space="preserve">Disaster Risk Reduction related goods and services                                                                   </t>
  </si>
  <si>
    <t>S1.7</t>
  </si>
  <si>
    <t xml:space="preserve">Cash for Work / Cash distribution program (vouchers) related goods and services                                                 </t>
  </si>
  <si>
    <t>S1.8</t>
  </si>
  <si>
    <t xml:space="preserve">Planification, follow up and evaluation workshops related goods and services                                        </t>
  </si>
  <si>
    <t>S1.9</t>
  </si>
  <si>
    <t xml:space="preserve">Capacity building related goods and services                                 </t>
  </si>
  <si>
    <t>S1.10</t>
  </si>
  <si>
    <t xml:space="preserve">Mainstreaming (gender, HIV/AIDS, sustainable development,  etc.) related goods and services                       </t>
  </si>
  <si>
    <t>S1.11</t>
  </si>
  <si>
    <t>Crisis Modifier</t>
  </si>
  <si>
    <t>Total</t>
  </si>
  <si>
    <t>Total Coûts Directs</t>
  </si>
  <si>
    <t>Ratio Services to Beneficiaries sur coûts directs</t>
  </si>
  <si>
    <t>Coût Total Eligible</t>
  </si>
  <si>
    <t>Ratio Services to Beneficiaries sur Coût Total Eligible</t>
  </si>
  <si>
    <r>
      <rPr>
        <b/>
        <u/>
        <sz val="14"/>
        <color rgb="FF000000"/>
        <rFont val="Plan"/>
      </rPr>
      <t>Humanitarian Organisation</t>
    </r>
    <r>
      <rPr>
        <b/>
        <sz val="14"/>
        <color rgb="FF000000"/>
        <rFont val="Plan"/>
      </rPr>
      <t>:   Plan International Belgium</t>
    </r>
  </si>
  <si>
    <r>
      <rPr>
        <b/>
        <u/>
        <sz val="14"/>
        <color rgb="FF000000"/>
        <rFont val="Plan"/>
      </rPr>
      <t>Country Office:</t>
    </r>
    <r>
      <rPr>
        <b/>
        <sz val="14"/>
        <color rgb="FF000000"/>
        <rFont val="Plan"/>
      </rPr>
      <t xml:space="preserve">                        MALI</t>
    </r>
  </si>
  <si>
    <r>
      <rPr>
        <b/>
        <u/>
        <sz val="14"/>
        <color rgb="FF000000"/>
        <rFont val="Plan"/>
      </rPr>
      <t>Title of the Action</t>
    </r>
    <r>
      <rPr>
        <b/>
        <sz val="14"/>
        <color rgb="FF000000"/>
        <rFont val="Plan"/>
      </rPr>
      <t>:                  PROACT:  Promoting Resilience Of Adolescents and Children in Crises Together</t>
    </r>
  </si>
  <si>
    <r>
      <rPr>
        <b/>
        <u/>
        <sz val="14"/>
        <color rgb="FF000000"/>
        <rFont val="Plan"/>
      </rPr>
      <t>Grant agreement number :</t>
    </r>
    <r>
      <rPr>
        <b/>
        <sz val="14"/>
        <color rgb="FF000000"/>
        <rFont val="Plan"/>
      </rPr>
      <t xml:space="preserve">     TBC</t>
    </r>
  </si>
  <si>
    <r>
      <rPr>
        <b/>
        <u/>
        <sz val="14"/>
        <color rgb="FF000000"/>
        <rFont val="Plan"/>
      </rPr>
      <t>Duration of the Action:</t>
    </r>
    <r>
      <rPr>
        <b/>
        <sz val="14"/>
        <color rgb="FF000000"/>
        <rFont val="Plan"/>
      </rPr>
      <t xml:space="preserve">           24 Months</t>
    </r>
  </si>
  <si>
    <r>
      <rPr>
        <b/>
        <u/>
        <sz val="14"/>
        <color rgb="FF000000"/>
        <rFont val="Plan"/>
      </rPr>
      <t>Start date of the Action</t>
    </r>
    <r>
      <rPr>
        <b/>
        <sz val="14"/>
        <color rgb="FF000000"/>
        <rFont val="Plan"/>
      </rPr>
      <t>:         01/10/2023</t>
    </r>
  </si>
  <si>
    <t>Reference</t>
  </si>
  <si>
    <t>Qty</t>
  </si>
  <si>
    <t>Unit</t>
  </si>
  <si>
    <t>Nbre of Unit</t>
  </si>
  <si>
    <t>Type</t>
  </si>
  <si>
    <t>Frequency</t>
  </si>
  <si>
    <t>Unit Costs in Eur</t>
  </si>
  <si>
    <t>Total (Eur)</t>
  </si>
  <si>
    <t>R1</t>
  </si>
  <si>
    <t>R2</t>
  </si>
  <si>
    <t>R3</t>
  </si>
  <si>
    <t>R4</t>
  </si>
  <si>
    <t>R5</t>
  </si>
  <si>
    <t>Year 1</t>
  </si>
  <si>
    <t>Year 2</t>
  </si>
  <si>
    <t>Unités</t>
  </si>
  <si>
    <t>Qté</t>
  </si>
  <si>
    <t>A</t>
  </si>
  <si>
    <t xml:space="preserve">Equipments </t>
  </si>
  <si>
    <t>A1</t>
  </si>
  <si>
    <t xml:space="preserve">Equipments bureau de Kita </t>
  </si>
  <si>
    <t>A1.1</t>
  </si>
  <si>
    <t>Ordinateurs - Kita (Animateurs, 2 Gest Cas, M&amp;E)</t>
  </si>
  <si>
    <t>item</t>
  </si>
  <si>
    <t>Ordinateur</t>
  </si>
  <si>
    <t>A1.2</t>
  </si>
  <si>
    <t>Imprimante Multifonction - Kita (Compta&amp;Programme)</t>
  </si>
  <si>
    <t>Imprimante</t>
  </si>
  <si>
    <t>A1.4</t>
  </si>
  <si>
    <t>Video projecteur  pour le PIIA</t>
  </si>
  <si>
    <t>Videoproj</t>
  </si>
  <si>
    <t>A1.5</t>
  </si>
  <si>
    <t>Fauteuil demi-ministre</t>
  </si>
  <si>
    <t>Fauteuil</t>
  </si>
  <si>
    <t>A2</t>
  </si>
  <si>
    <t>Office Equipments Bamako</t>
  </si>
  <si>
    <t>A2.1</t>
  </si>
  <si>
    <t>A2.2</t>
  </si>
  <si>
    <t>A3</t>
  </si>
  <si>
    <t>Security Equipment</t>
  </si>
  <si>
    <t>A3.1</t>
  </si>
  <si>
    <t>A3.2</t>
  </si>
  <si>
    <t>A4</t>
  </si>
  <si>
    <t>Office equipment</t>
  </si>
  <si>
    <t>A4.1</t>
  </si>
  <si>
    <t>A4.2</t>
  </si>
  <si>
    <t>B</t>
  </si>
  <si>
    <t>Human Ressources</t>
  </si>
  <si>
    <t>B1</t>
  </si>
  <si>
    <t>National staff</t>
  </si>
  <si>
    <t>B1.1</t>
  </si>
  <si>
    <t>Program Staff</t>
  </si>
  <si>
    <t>B1.1.1</t>
  </si>
  <si>
    <t>Chef de Projet</t>
  </si>
  <si>
    <t>Staff</t>
  </si>
  <si>
    <t>Month</t>
  </si>
  <si>
    <t>B1.1.2</t>
  </si>
  <si>
    <t>Finance&amp;Account Officer</t>
  </si>
  <si>
    <t>B1.1.3</t>
  </si>
  <si>
    <t xml:space="preserve">M&amp;EOfficer </t>
  </si>
  <si>
    <t>B1.1.4</t>
  </si>
  <si>
    <t>Coordinateur VSBG Enfants&amp; Adolescents</t>
  </si>
  <si>
    <t>B1.2</t>
  </si>
  <si>
    <t>Support Staff</t>
  </si>
  <si>
    <t>B1.2.1</t>
  </si>
  <si>
    <t>Emergency Response Manager</t>
  </si>
  <si>
    <t>B1.2.2</t>
  </si>
  <si>
    <t xml:space="preserve">CPiE Specialist </t>
  </si>
  <si>
    <t>B1.2.3</t>
  </si>
  <si>
    <t>MEAL Manager</t>
  </si>
  <si>
    <t>B1.2.4</t>
  </si>
  <si>
    <t>Grant Manager</t>
  </si>
  <si>
    <t>B1.2.5</t>
  </si>
  <si>
    <t>Security Advisor</t>
  </si>
  <si>
    <t>B1.2.6</t>
  </si>
  <si>
    <t>Logistic &amp; procurment spécialist - Bamako</t>
  </si>
  <si>
    <t>B1.2.7</t>
  </si>
  <si>
    <t>Human Ressources Advisor</t>
  </si>
  <si>
    <t>B1.2.8</t>
  </si>
  <si>
    <t>Specialist ICT</t>
  </si>
  <si>
    <t>B1.2.9</t>
  </si>
  <si>
    <t>Head of Pogram &amp; Development &amp; Influency</t>
  </si>
  <si>
    <t>B1.2.10</t>
  </si>
  <si>
    <t xml:space="preserve">Senior Digital Finance </t>
  </si>
  <si>
    <t>B1.2.11</t>
  </si>
  <si>
    <t>CFM</t>
  </si>
  <si>
    <t>B1.2.12</t>
  </si>
  <si>
    <t>Head of Operations</t>
  </si>
  <si>
    <t>B1.2.13</t>
  </si>
  <si>
    <t>Human Ressources Specialist</t>
  </si>
  <si>
    <t>B2</t>
  </si>
  <si>
    <t>International staff</t>
  </si>
  <si>
    <t>B2.1.1</t>
  </si>
  <si>
    <t>International staff in the field - Programme</t>
  </si>
  <si>
    <t>Country Director</t>
  </si>
  <si>
    <t>B2.1.2</t>
  </si>
  <si>
    <t>B2.2</t>
  </si>
  <si>
    <t>International staff in the field - Support</t>
  </si>
  <si>
    <t>B.2.2.1</t>
  </si>
  <si>
    <t>B3</t>
  </si>
  <si>
    <t>Headquarter staff</t>
  </si>
  <si>
    <t>B3.1.1</t>
  </si>
  <si>
    <t>Headquarter staff in the field - Programme</t>
  </si>
  <si>
    <t>GiE Specialist</t>
  </si>
  <si>
    <t xml:space="preserve">staff </t>
  </si>
  <si>
    <t xml:space="preserve">Mois </t>
  </si>
  <si>
    <t>B3.1.2</t>
  </si>
  <si>
    <t>CPiE Specialist</t>
  </si>
  <si>
    <t>B3.1.3</t>
  </si>
  <si>
    <t xml:space="preserve">ERM/ ERO </t>
  </si>
  <si>
    <t>B3.2</t>
  </si>
  <si>
    <t>Headquarter staff in the field - Support</t>
  </si>
  <si>
    <t>B3.2.1</t>
  </si>
  <si>
    <t>Compliance &amp; Finance  Support</t>
  </si>
  <si>
    <t>B3.2.2</t>
  </si>
  <si>
    <t>MERLsupport</t>
  </si>
  <si>
    <t>C</t>
  </si>
  <si>
    <t>Running Cost</t>
  </si>
  <si>
    <t>C1</t>
  </si>
  <si>
    <t>Running costs of vehicles</t>
  </si>
  <si>
    <t>C1.1</t>
  </si>
  <si>
    <t>Running costs of vehicles PIIA (Implementation Area)</t>
  </si>
  <si>
    <t>C1.1.1</t>
  </si>
  <si>
    <t>Assurance Moto - Kita</t>
  </si>
  <si>
    <t>Lumpsum</t>
  </si>
  <si>
    <t>Year</t>
  </si>
  <si>
    <t>C1.1.2</t>
  </si>
  <si>
    <t>Vignette moto- Kita</t>
  </si>
  <si>
    <t>C1.1.3</t>
  </si>
  <si>
    <t>Carburant Moto (25,000 FCFA ) par mois et par moto) - Kita</t>
  </si>
  <si>
    <t>C1.1.4</t>
  </si>
  <si>
    <t>Entretien 02 véhicules (7118 BAT et 5582 BAT) - Kita</t>
  </si>
  <si>
    <t>C1.1.5</t>
  </si>
  <si>
    <t>Reparation 02 vehicules - Kita</t>
  </si>
  <si>
    <t>C1.1.6</t>
  </si>
  <si>
    <t>Carburant 02 véhicules - Kita</t>
  </si>
  <si>
    <t>C1.1.7</t>
  </si>
  <si>
    <t>Loyer</t>
  </si>
  <si>
    <t xml:space="preserve">Month </t>
  </si>
  <si>
    <t>C1.1.8</t>
  </si>
  <si>
    <t>Internet Bureau</t>
  </si>
  <si>
    <t>C1.1.9</t>
  </si>
  <si>
    <t>Electricité &amp;Eau</t>
  </si>
  <si>
    <t>C1.1.10</t>
  </si>
  <si>
    <t>Entretien bureau</t>
  </si>
  <si>
    <t>C1.1.11</t>
  </si>
  <si>
    <t>Téléphone fixe</t>
  </si>
  <si>
    <t>C1.2</t>
  </si>
  <si>
    <t>Running costs of vehicles CO (Coordination Office)</t>
  </si>
  <si>
    <t>C1.2.1</t>
  </si>
  <si>
    <t>Cout vehicule (carburant+assurance+vignette+entretien) CO</t>
  </si>
  <si>
    <t>C2</t>
  </si>
  <si>
    <t>Travels</t>
  </si>
  <si>
    <t>C2.1</t>
  </si>
  <si>
    <t>International Travels</t>
  </si>
  <si>
    <t>C2.1.1</t>
  </si>
  <si>
    <t>International Travels (Programme staff)</t>
  </si>
  <si>
    <t>C2.1.1.1</t>
  </si>
  <si>
    <t xml:space="preserve"> International Travel -  </t>
  </si>
  <si>
    <t xml:space="preserve">Travel </t>
  </si>
  <si>
    <t xml:space="preserve">Lumpsum </t>
  </si>
  <si>
    <t>C2.1.1.2</t>
  </si>
  <si>
    <t xml:space="preserve"> International Travel - Compliance and Financial Control support </t>
  </si>
  <si>
    <t>C2.1.2</t>
  </si>
  <si>
    <t>International Travels (Support staff)</t>
  </si>
  <si>
    <t>C2.1.2.1</t>
  </si>
  <si>
    <t>C2.2</t>
  </si>
  <si>
    <t>National Travel</t>
  </si>
  <si>
    <t>C2.2.1</t>
  </si>
  <si>
    <t>National Travels (Programme staff) (M&amp;E)</t>
  </si>
  <si>
    <t>C2.2.1.2</t>
  </si>
  <si>
    <t>C2.2.2</t>
  </si>
  <si>
    <t>National Travel (Support staff)</t>
  </si>
  <si>
    <t>C2.2.1.1</t>
  </si>
  <si>
    <t>Transport (location Véhicule et Carburant)</t>
  </si>
  <si>
    <t>Jour</t>
  </si>
  <si>
    <t>Quarter</t>
  </si>
  <si>
    <t xml:space="preserve">Per Diem </t>
  </si>
  <si>
    <t>C2.2.1.3</t>
  </si>
  <si>
    <t>Accomodation</t>
  </si>
  <si>
    <t>Night</t>
  </si>
  <si>
    <t>C3</t>
  </si>
  <si>
    <t>Communication &amp; visibility</t>
  </si>
  <si>
    <t>C3.1</t>
  </si>
  <si>
    <t>Telephones and internet connection CO</t>
  </si>
  <si>
    <t>C3.2</t>
  </si>
  <si>
    <t>Telephones staffs CO</t>
  </si>
  <si>
    <t>C3.3</t>
  </si>
  <si>
    <t>Communication (flotte et dotation mensuelle) - Kita</t>
  </si>
  <si>
    <t>Visibilité</t>
  </si>
  <si>
    <t>C4</t>
  </si>
  <si>
    <t>Buildings: rents and utilities</t>
  </si>
  <si>
    <t>C4.1</t>
  </si>
  <si>
    <t>Buildings: rents and utilities PIIA (Implementation Area)</t>
  </si>
  <si>
    <t>C4.1.1</t>
  </si>
  <si>
    <t>C4.2</t>
  </si>
  <si>
    <t>Buildings: rents and utilities CO  (Coordination Office)</t>
  </si>
  <si>
    <t>C.4.2.1</t>
  </si>
  <si>
    <t>Office rent CO</t>
  </si>
  <si>
    <t>C.4.2.2</t>
  </si>
  <si>
    <t>Office utilities CO (water, electricity)</t>
  </si>
  <si>
    <t>C.4.2.3</t>
  </si>
  <si>
    <t>Gardiennage CO</t>
  </si>
  <si>
    <t>C.4.2.4</t>
  </si>
  <si>
    <t>Office &amp; General Supplies CO</t>
  </si>
  <si>
    <t>C.4.2.5</t>
  </si>
  <si>
    <t>Entretien bureau CO</t>
  </si>
  <si>
    <t>C.4.2.6</t>
  </si>
  <si>
    <t>Equipements bureau+securité CO</t>
  </si>
  <si>
    <t>C5</t>
  </si>
  <si>
    <t>Others Running Costs</t>
  </si>
  <si>
    <t>C5.1</t>
  </si>
  <si>
    <t>D</t>
  </si>
  <si>
    <t>External Services</t>
  </si>
  <si>
    <t>D.1</t>
  </si>
  <si>
    <t>External Audit</t>
  </si>
  <si>
    <t>Audit</t>
  </si>
  <si>
    <t>D.2</t>
  </si>
  <si>
    <t>External Evaluation</t>
  </si>
  <si>
    <t>Survey</t>
  </si>
  <si>
    <t>R</t>
  </si>
  <si>
    <t>Activities Costs</t>
  </si>
  <si>
    <t>R0</t>
  </si>
  <si>
    <t>Transversal activities</t>
  </si>
  <si>
    <t>R0-A1</t>
  </si>
  <si>
    <t>R0-A1 : Start Up workshop</t>
  </si>
  <si>
    <t>Workshop</t>
  </si>
  <si>
    <t>R0-A2</t>
  </si>
  <si>
    <t>R0-A2 : Closure workshop</t>
  </si>
  <si>
    <t>Worshop</t>
  </si>
  <si>
    <t>R0-A3</t>
  </si>
  <si>
    <t>R0-A3 : Suivi programmatique des activités par le chef de projet et l'équipe MERL</t>
  </si>
  <si>
    <t>R0-A4</t>
  </si>
  <si>
    <t>R0-A4 : Baseline</t>
  </si>
  <si>
    <t>R0-A5</t>
  </si>
  <si>
    <t>R0-A5 : Project Specific Training</t>
  </si>
  <si>
    <t>Training</t>
  </si>
  <si>
    <t>Outcome 1 : Les enfants et les adolescent‧e‧s, en particulier les filles, ont accès à des informations, des ressources et des services qui renforcent leur sécurité et leur résilience</t>
  </si>
  <si>
    <t>R1-A1</t>
  </si>
  <si>
    <t>R1-A1 : Mise en place ou réhabilitation d'espaces amis des enfants (EAE) et d'espaces sûrs pour les adolescentes et les filles (ESAF)  gérés par des femmes</t>
  </si>
  <si>
    <t>R1-A2</t>
  </si>
  <si>
    <t>R1-A2 : Activités récréatives et ludiques pour les enfants dans les EAR et ESAF</t>
  </si>
  <si>
    <t>R1-A3</t>
  </si>
  <si>
    <t>R1-A3 :  Organiser des sessions de compétences de vie et des activités de groupes de pairs pour les adolescent‧e‧s</t>
  </si>
  <si>
    <t>R1-A4</t>
  </si>
  <si>
    <t xml:space="preserve">R1-A4 :  Appui  au développement de compétences économiques et financières pour les adolescent‧e‧s, en particulier les filles, à risque ou survivantes de violence, d'abus et de négligence.	</t>
  </si>
  <si>
    <t>R1-A5</t>
  </si>
  <si>
    <t xml:space="preserve"> R1-A5 : Appui à la mise d’activités génératrices de revenus pour les adolescent‧e‧s, en particulier les filles, à risque ou survivantes de violence, d'abus et de négligence.	</t>
  </si>
  <si>
    <t>Outcome 2: Les enfants et les adolescent‧e‧s bénéficient de soutien psychosocial adaptés au genre et à l'âge.</t>
  </si>
  <si>
    <t>R2-A1</t>
  </si>
  <si>
    <t>R2-A1 : Réaliser ou mettre à jour une cartographie des services de protection de l'enfance (PE) et VSBG dans les communautés cibles</t>
  </si>
  <si>
    <t>R2-A2</t>
  </si>
  <si>
    <t>R2-A2 : Fournir un soutien psychosocial aux enfants et adolescents à risque ou survivants de violence, d'abus et de négligence, y compris les cas de VSBG et d'ESNA</t>
  </si>
  <si>
    <t>R2-A3</t>
  </si>
  <si>
    <t>R2-A3 : Distribution de coupons, cash et aide en nature pour les cas de PE, selon des critères de vulnérabilité en matière de protection</t>
  </si>
  <si>
    <t>R2-A4</t>
  </si>
  <si>
    <t>R2-A4 : Identifier et former les familles d'accueil transitoires pour le placement des ESNA</t>
  </si>
  <si>
    <t>Outcome 3 : Les acteurs communautaires, les parents et les tuteurs‧trices soutiennent les enfants et les adolescent‧e‧s à risque, et sont les moteurs d’une mobilisation communautaire pour promouvoir l’égalité pour les filles</t>
  </si>
  <si>
    <t>R3-A1</t>
  </si>
  <si>
    <t>R3-A1 : Mener une évaluation participative des risques de protection axée sur l'enfant et élaborer des plans de sécurité pour faire face aux risques identifiés</t>
  </si>
  <si>
    <t>R3-A2</t>
  </si>
  <si>
    <t>R3-A2 : Mettre en place et renforcer les MCPE</t>
  </si>
  <si>
    <t>R3-A3</t>
  </si>
  <si>
    <t xml:space="preserve">R3-A3 : Appui aux MCPE pour la mise en œuvre des recommandations des plans de sécurité	</t>
  </si>
  <si>
    <t>R3-A4</t>
  </si>
  <si>
    <t>R3-A4 : Mise en place de programmes d'éducation parentale afin de fournir aux parents et tuteurs des outils leur permettant de prendre soin d'eux-mêmes et d'acquérir des compétences parentales positives dans les situations de crise.</t>
  </si>
  <si>
    <t>R3-A5</t>
  </si>
  <si>
    <t>R3-A5 : Fournir une assistance économique aux parents et tuteurs vulnérables afin de prévenir et de répondre aux risques de PE</t>
  </si>
  <si>
    <t>R3-A6</t>
  </si>
  <si>
    <t>R3-A6 : Appui à la mise en place d'activités de sensibilisation communautaires sur la PE et VSBG, menées avec des adolescent‧e‧s et les communautés</t>
  </si>
  <si>
    <t>Outcome 4 : Les prestataires de services ont la capacité de fournir en permanence des services sensibles au genre et à l'âge, conformément aux standards et aux principes humanitaires</t>
  </si>
  <si>
    <t>R4-A1</t>
  </si>
  <si>
    <t>R4-A1 : Renforcer les capacités des prestataires de services de PE sur la prise en charge de qualité, confidentielle et sûre, sensible au genre et à l'âge</t>
  </si>
  <si>
    <t>R4-A2</t>
  </si>
  <si>
    <t>R4-A2 : Former les autorités locales et les fonctionnaires à la PE, à la sauvegarde, à l'égalité des genre et lutte contre les pratiques néfastes</t>
  </si>
  <si>
    <t>R4-A3</t>
  </si>
  <si>
    <t xml:space="preserve">R4-A3 : Renforcer les circuits de référencement des cas de PE, y compris de VSBG </t>
  </si>
  <si>
    <t>R4-A4</t>
  </si>
  <si>
    <t>R4-A4 : Développer des initiatives de plaidoyer avec la participation active des enfants et adolescent.e.s pour plaider en faveur de la PE et de l'égalité d'accès des filles à l'aide humanitaire</t>
  </si>
  <si>
    <t>Outcome 5 : Les enfants, adolescent‧e‧s et leurs familles touchées par une catastrophe ont un accès rapide à une assistance vitale immédiatement après le choc.</t>
  </si>
  <si>
    <t>R5-A1</t>
  </si>
  <si>
    <t xml:space="preserve">R5-A1 : Evaluation rapide des besoins et des risques pour l’activation du modificateur de crise </t>
  </si>
  <si>
    <t>R5-A2</t>
  </si>
  <si>
    <t>R5-A2 : Déploiement d'une aide d’urgence pour les enfants, adolescents et populations affectées par une crise soudaines en cas de déplacements massifs de populations et de catastrophes</t>
  </si>
  <si>
    <t>Coûts Indirects</t>
  </si>
  <si>
    <t>Total Elligible Costs</t>
  </si>
  <si>
    <r>
      <rPr>
        <b/>
        <u/>
        <sz val="14"/>
        <color rgb="FF000000"/>
        <rFont val="Plan"/>
      </rPr>
      <t>Country Office:</t>
    </r>
    <r>
      <rPr>
        <b/>
        <sz val="14"/>
        <color rgb="FF000000"/>
        <rFont val="Plan"/>
      </rPr>
      <t xml:space="preserve">                        NIGER</t>
    </r>
  </si>
  <si>
    <t xml:space="preserve">Equipment </t>
  </si>
  <si>
    <t>Vehicle</t>
  </si>
  <si>
    <t>Achat vehicule 4*4 prado</t>
  </si>
  <si>
    <t>Vehicule</t>
  </si>
  <si>
    <t>Forfait</t>
  </si>
  <si>
    <t>IT &amp; communication material</t>
  </si>
  <si>
    <t>Ordinateur portable</t>
  </si>
  <si>
    <t>Telephone Flotte</t>
  </si>
  <si>
    <t xml:space="preserve">Extincteurs </t>
  </si>
  <si>
    <t>Extincteur</t>
  </si>
  <si>
    <t>Detecteur de fumee</t>
  </si>
  <si>
    <t>Détecteur de fumée</t>
  </si>
  <si>
    <t>A3.3</t>
  </si>
  <si>
    <t>Radio Irridium</t>
  </si>
  <si>
    <t xml:space="preserve">Radio </t>
  </si>
  <si>
    <t>A3.4</t>
  </si>
  <si>
    <t>Kit de premier secour pour le véhicule</t>
  </si>
  <si>
    <t>Kit</t>
  </si>
  <si>
    <t>Imprimante, scanner, toner</t>
  </si>
  <si>
    <t>Bureaux, Chaises, staff</t>
  </si>
  <si>
    <t>A4.3</t>
  </si>
  <si>
    <t>Equipement salle de reunion (bureaux,chaises Tables,)</t>
  </si>
  <si>
    <t>Program Manager</t>
  </si>
  <si>
    <t>Mois</t>
  </si>
  <si>
    <t>M&amp;E Officer</t>
  </si>
  <si>
    <t>Finance Officer</t>
  </si>
  <si>
    <t>Security Coordinator</t>
  </si>
  <si>
    <t>B1.1.5</t>
  </si>
  <si>
    <t>Driver</t>
  </si>
  <si>
    <t>B1.1.6</t>
  </si>
  <si>
    <t xml:space="preserve">Disaster Risk Manager </t>
  </si>
  <si>
    <t>B1.1.7</t>
  </si>
  <si>
    <t xml:space="preserve">Child protection specialist </t>
  </si>
  <si>
    <t>B1.1.8</t>
  </si>
  <si>
    <t>Gender Equality and Inclusion Manager</t>
  </si>
  <si>
    <t>B1.1.9</t>
  </si>
  <si>
    <t xml:space="preserve">Emergency Response Manager </t>
  </si>
  <si>
    <t>B1.1.10</t>
  </si>
  <si>
    <t xml:space="preserve"> Deputy Emergency Response Manager /Tahoua</t>
  </si>
  <si>
    <t>B1.1.11</t>
  </si>
  <si>
    <t>cordonnateur Logistic</t>
  </si>
  <si>
    <t>Assistant Admin</t>
  </si>
  <si>
    <t>Head of Programme Implementation</t>
  </si>
  <si>
    <t xml:space="preserve">Head of Program Development and Influencing  </t>
  </si>
  <si>
    <t>Procurement and Logistics Manager</t>
  </si>
  <si>
    <t>Logistics Officer</t>
  </si>
  <si>
    <t>Information Technology Manager</t>
  </si>
  <si>
    <t>Risk Management and Internal Control  Manager</t>
  </si>
  <si>
    <t>Country Finance Manager</t>
  </si>
  <si>
    <t>Chief Accountant</t>
  </si>
  <si>
    <t>Business Analyst</t>
  </si>
  <si>
    <t>Finance controler</t>
  </si>
  <si>
    <t xml:space="preserve">Head of Grants and Business Development Unit </t>
  </si>
  <si>
    <t>B1.2.14</t>
  </si>
  <si>
    <t>Grant compliance specialist</t>
  </si>
  <si>
    <t xml:space="preserve">International CPIE Specialist </t>
  </si>
  <si>
    <t xml:space="preserve"> ERM/ ERO </t>
  </si>
  <si>
    <t xml:space="preserve"> Compliance &amp; Finance  Support</t>
  </si>
  <si>
    <t xml:space="preserve"> MERLsupport </t>
  </si>
  <si>
    <t>Maintenance et equipement vehicule</t>
  </si>
  <si>
    <t>Carburant vehicule</t>
  </si>
  <si>
    <t>Assurance ,vignette, peage, tenue chauffeur</t>
  </si>
  <si>
    <t>An</t>
  </si>
  <si>
    <t xml:space="preserve"> International Travel -  Programme Monitoring</t>
  </si>
  <si>
    <t xml:space="preserve"> Travel </t>
  </si>
  <si>
    <t>National Travels (Programme staff)</t>
  </si>
  <si>
    <t>C2.2.2.1</t>
  </si>
  <si>
    <t>Staff travel (Travel tickets, Accomodation &amp; Meals,) (</t>
  </si>
  <si>
    <t>Voyage</t>
  </si>
  <si>
    <t>Contribution loyer Tahaou</t>
  </si>
  <si>
    <t>Bureau</t>
  </si>
  <si>
    <t xml:space="preserve">Contribution a l'internet du bureau de Tahoua </t>
  </si>
  <si>
    <t>C5.2</t>
  </si>
  <si>
    <t>Credit de communication Staff (à ramener à la catégorie frais de fonctionnement)</t>
  </si>
  <si>
    <t>R0-A1: Internal baseline</t>
  </si>
  <si>
    <t>R0-A2: Start-up workshop</t>
  </si>
  <si>
    <t>Atelier</t>
  </si>
  <si>
    <t>R0-A3: Atelier de l'elaboration du cadre de collaboration avec MdM</t>
  </si>
  <si>
    <t>R0-A4: Suivi programmatique des activités par le chef de projet et l'équipe MERL</t>
  </si>
  <si>
    <t>Voyage de suivi</t>
  </si>
  <si>
    <t>R1-A4 :  Appui  au développement de compétences économiques et financières pour les adolescent‧e‧s, en particulier les filles, à risque ou survivantes de violence, d'abus et de négligence.</t>
  </si>
  <si>
    <t xml:space="preserve"> R1-A5 : Appui à la mise d’activités génératrices de revenus pour les adolescent‧e‧s, en particulier les filles, à risque ou survivantes de violence, d'abus et de négligence.</t>
  </si>
  <si>
    <t>R3-A3 : Appui aux MCPE pour la mise en œuvre des recommandations des plans de sécurité</t>
  </si>
  <si>
    <t xml:space="preserve">Outcome 4 : Les prestataires de services ont la capacité de fournir en permanence des services sensibles au genre et à l'âge, conformément aux standards et aux principes humanitaires
</t>
  </si>
  <si>
    <t>Total Eligible costs</t>
  </si>
  <si>
    <t xml:space="preserve">    cde'</t>
  </si>
  <si>
    <r>
      <rPr>
        <b/>
        <u/>
        <sz val="14"/>
        <color rgb="FF000000"/>
        <rFont val="Plan"/>
      </rPr>
      <t>Country Office:</t>
    </r>
    <r>
      <rPr>
        <b/>
        <sz val="14"/>
        <color rgb="FF000000"/>
        <rFont val="Plan"/>
      </rPr>
      <t xml:space="preserve">                        UGANDA</t>
    </r>
  </si>
  <si>
    <t>Total Budget (EUR)
Check</t>
  </si>
  <si>
    <t>Human Resources</t>
  </si>
  <si>
    <t>Project Manager</t>
  </si>
  <si>
    <t>month</t>
  </si>
  <si>
    <t>Child Protection Coordinator</t>
  </si>
  <si>
    <t>Project Officer</t>
  </si>
  <si>
    <t>Project MERL Officer</t>
  </si>
  <si>
    <t>Technical Advisor - Protection/ Safeguarding</t>
  </si>
  <si>
    <t>Program Area Manager x 1</t>
  </si>
  <si>
    <t>CPIE Specialist x 1</t>
  </si>
  <si>
    <t>Administration Coordinator x 1</t>
  </si>
  <si>
    <t>Admin &amp; Logistic assistant x 1</t>
  </si>
  <si>
    <t>Program Area Accountant x 1</t>
  </si>
  <si>
    <t>Program area Engineer (shared with Nebbi also)</t>
  </si>
  <si>
    <t>Accounts Assistant x 1</t>
  </si>
  <si>
    <t>Drivers x 3</t>
  </si>
  <si>
    <t>Head of Finance</t>
  </si>
  <si>
    <t>Head of people and culture</t>
  </si>
  <si>
    <t xml:space="preserve">Head of Program Development and Quality </t>
  </si>
  <si>
    <t>M&amp;E Thematic Coordinator - SRHR / DECIDE</t>
  </si>
  <si>
    <t>Influencing and Communications Manager</t>
  </si>
  <si>
    <t>Advocacy and Communication team</t>
  </si>
  <si>
    <t>Finance Team</t>
  </si>
  <si>
    <t>B1.2.15</t>
  </si>
  <si>
    <t>Operations Team</t>
  </si>
  <si>
    <t>B1.2.16</t>
  </si>
  <si>
    <t>HR Team</t>
  </si>
  <si>
    <t>B1.2.17</t>
  </si>
  <si>
    <t>Risk Management</t>
  </si>
  <si>
    <t>B1.2.18</t>
  </si>
  <si>
    <t>M&amp;E team</t>
  </si>
  <si>
    <t>B1.2.19</t>
  </si>
  <si>
    <t>Grants Support Team</t>
  </si>
  <si>
    <t>B1.2.20</t>
  </si>
  <si>
    <t>Country Engineer</t>
  </si>
  <si>
    <t>B2.1</t>
  </si>
  <si>
    <t>Head of Program Implementation</t>
  </si>
  <si>
    <t xml:space="preserve">MERLsupport </t>
  </si>
  <si>
    <t>B3.2.3</t>
  </si>
  <si>
    <t>Veh/M-Bike Rep/Maintenance/Parts</t>
  </si>
  <si>
    <t>Vehicle/M-Bike Fuel &amp; Oil</t>
  </si>
  <si>
    <t>Vehicle Tracking and Insurance</t>
  </si>
  <si>
    <t>Vehicle rental</t>
  </si>
  <si>
    <t>C1.2.2</t>
  </si>
  <si>
    <t>C1.2.3</t>
  </si>
  <si>
    <t>C1.2.4</t>
  </si>
  <si>
    <t>Vehicle insurance and tracking</t>
  </si>
  <si>
    <t>Programme Staff Travel BNO</t>
  </si>
  <si>
    <t>travel</t>
  </si>
  <si>
    <t>Support Staff (Finance &amp; Compliance) Travel BNO</t>
  </si>
  <si>
    <t>Per Diems (local)</t>
  </si>
  <si>
    <t>day/person</t>
  </si>
  <si>
    <t>Accomodation Costs (local)</t>
  </si>
  <si>
    <t>Air travel - local flights</t>
  </si>
  <si>
    <t>flight</t>
  </si>
  <si>
    <t>C2.2.2.2</t>
  </si>
  <si>
    <t>Perdiem and Accomodation - Support staff</t>
  </si>
  <si>
    <t>person/flight</t>
  </si>
  <si>
    <t>C2.2.2.3</t>
  </si>
  <si>
    <t>Perdiem - Support staff</t>
  </si>
  <si>
    <t>quarter</t>
  </si>
  <si>
    <t>C2.2.2.4</t>
  </si>
  <si>
    <t>Accommodation - Support staff</t>
  </si>
  <si>
    <t xml:space="preserve">Documentation of good practices, lesson learnt, change stories for publication/promotional materials. </t>
  </si>
  <si>
    <t>consultancy</t>
  </si>
  <si>
    <t>Office Rent and associated costs</t>
  </si>
  <si>
    <t>C4.1.2</t>
  </si>
  <si>
    <t>Utilities (electricity, water, gas, generator fuel)</t>
  </si>
  <si>
    <t>C4.1.3</t>
  </si>
  <si>
    <t>Communication Costs (internet, mobile, telephone)</t>
  </si>
  <si>
    <t>C4.1.4</t>
  </si>
  <si>
    <t>Office Cleaning &amp; maintenance</t>
  </si>
  <si>
    <t>C4.1.5</t>
  </si>
  <si>
    <t>Consumables &amp; supplies</t>
  </si>
  <si>
    <t>C4.1.6</t>
  </si>
  <si>
    <t>Memberships and Subscriptions</t>
  </si>
  <si>
    <t>C4.1.7</t>
  </si>
  <si>
    <t>Staff training and meetings</t>
  </si>
  <si>
    <t>C4.1.8</t>
  </si>
  <si>
    <t>Security</t>
  </si>
  <si>
    <t>C4.1.9</t>
  </si>
  <si>
    <t>Internet upgrade</t>
  </si>
  <si>
    <t>year</t>
  </si>
  <si>
    <t>Office Equipment (incl. Computer) Repair and Maintenance</t>
  </si>
  <si>
    <t>Bank Charges</t>
  </si>
  <si>
    <t>C5.3</t>
  </si>
  <si>
    <t>C5.4</t>
  </si>
  <si>
    <t>C5.5</t>
  </si>
  <si>
    <t>C5.6</t>
  </si>
  <si>
    <t>IT licences</t>
  </si>
  <si>
    <t>C5.7</t>
  </si>
  <si>
    <t>C5.8</t>
  </si>
  <si>
    <t>C5.9</t>
  </si>
  <si>
    <t>C5.10</t>
  </si>
  <si>
    <t>Legal retainer fees</t>
  </si>
  <si>
    <t>C5.11</t>
  </si>
  <si>
    <t>C5.12</t>
  </si>
  <si>
    <t>Staff recruitment (support staff)</t>
  </si>
  <si>
    <t>C5.13</t>
  </si>
  <si>
    <t>C5.14</t>
  </si>
  <si>
    <t>Statutory audit fees</t>
  </si>
  <si>
    <t>lumpsum</t>
  </si>
  <si>
    <t>R0-A1: Internal inception meeting with PIU staff including project staff and technical staff</t>
  </si>
  <si>
    <t>person</t>
  </si>
  <si>
    <t>R0-A2: External inception meeting with key district stakeholders, settlement structures and community members</t>
  </si>
  <si>
    <t>R0-A3: Close meeting with district stakeholders and community members.</t>
  </si>
  <si>
    <t>R0-A4: Cross country learning visits including deployments to facilitate learnings for better implementations of CP activities</t>
  </si>
  <si>
    <t>R0-A5: Baseline evaluation</t>
  </si>
  <si>
    <t>R0-A6</t>
  </si>
  <si>
    <t>R0-A6: Semi-annual reflection meetings</t>
  </si>
  <si>
    <t>Outcome 1: Children and adolescents, particularly girls, have access to information, resources, and services that build their safety and resilienc</t>
  </si>
  <si>
    <t>R1A1: Establish or rehabilitate child-friendly spaces (CFS) and adolescent girls safe spaces (AGSS) run by women</t>
  </si>
  <si>
    <t>R1A2: Organise recreational and awareness activities for boys and girls in CFS and AGSS</t>
  </si>
  <si>
    <t xml:space="preserve">R1A3: Organise life skills sessions and peer group activities for adolescent girls and boys </t>
  </si>
  <si>
    <t>R1A4: Facilitate economic and financial skills development for adolescents, particularly girls, at-risk or survivors of violence, abuse and neglect</t>
  </si>
  <si>
    <t>R1A5: Support adolescents, particularly girls, at-risk or survivors of violence to develop income generating activities</t>
  </si>
  <si>
    <t>Outcome 2: Children and adolescents receive gender and age-responsive psychosocial support</t>
  </si>
  <si>
    <t>R2A1: Conduct or update a mapping of CP and SGBV services in the target communities</t>
  </si>
  <si>
    <t>R2A2: Provide psychosocial support to children and adolescents at-risk or survivors of violence, abuse and neglect, including SGBV and UASC cases</t>
  </si>
  <si>
    <t>R2A3: Distribute voucher, cash and in-kind assistance for CP cases, according to protection vulnerability criteria</t>
  </si>
  <si>
    <t>R2A4: Identify and train foster caregivers for UASC placement</t>
  </si>
  <si>
    <t>Outcome 3:  Community-level actors, parents and caregivers support at-risk children and adolescents, and drive community-action to promote equality for girls</t>
  </si>
  <si>
    <t>R3A1: Conduct participatory child-focused protection risks assessment and develop safety plans to address risks identified</t>
  </si>
  <si>
    <t>R3A2: Establish and strengthen CBCPMs</t>
  </si>
  <si>
    <t>R3A3:  Support CBCPMs to implement recommendations from safety plans</t>
  </si>
  <si>
    <t>R3A4:  Deliver parenting programmes to equip caregivers with tools to practise self-care and positive parenting skills in crisis settings</t>
  </si>
  <si>
    <t xml:space="preserve">R3A5: Provide economic assistance package for vulnerable caregivers to prevent and respond to CP risks  </t>
  </si>
  <si>
    <t xml:space="preserve">R3A6: Support adolescent and community-led awareness-raising and sensitization on CP and SGBV </t>
  </si>
  <si>
    <t>Outcome 4: Service providers have the capacity to continuously deliver gender and age-responsive services that are provided in line with humanitarian standards and principles</t>
  </si>
  <si>
    <t xml:space="preserve">R4A1: Strengthen the capacities of service providers on quality, confidential, and safe gender and age-responsive case-management services </t>
  </si>
  <si>
    <t>R4A2: Train local authorities and government officials on CP, safeguarding, gender equality, and harmful practices</t>
  </si>
  <si>
    <t>R4A3: Strengthen the referral pathways for CP cases, including SGBV</t>
  </si>
  <si>
    <t>R4A4: Develop influencing initiatives with children and adolescents to advocate for CP and girls’ equal access to humanitarian assistance</t>
  </si>
  <si>
    <t>Outcome 5: Disaster-affected children, adolescents and their families have rapid access to life-saving assistance in the immediate aftermath of a shock (crisis modifier)</t>
  </si>
  <si>
    <t>R5A1: Rapid needs and risks assessment for crisis modifier activation</t>
  </si>
  <si>
    <t>R5A2: Deployment of emergency aid for children, adolescents and populations affected by sudden-onset crises</t>
  </si>
  <si>
    <t>Total Eligibles Costs</t>
  </si>
  <si>
    <r>
      <rPr>
        <b/>
        <u/>
        <sz val="14"/>
        <color rgb="FF000000"/>
        <rFont val="Plan"/>
      </rPr>
      <t>Country Office:</t>
    </r>
    <r>
      <rPr>
        <b/>
        <sz val="14"/>
        <color rgb="FF000000"/>
        <rFont val="Plan"/>
      </rPr>
      <t xml:space="preserve">                        RWANDA</t>
    </r>
  </si>
  <si>
    <t xml:space="preserve"> Laptop for staff </t>
  </si>
  <si>
    <t>PC</t>
  </si>
  <si>
    <t xml:space="preserve">Project Manager </t>
  </si>
  <si>
    <t>Grant accountant</t>
  </si>
  <si>
    <t>Project officer</t>
  </si>
  <si>
    <t>Monitoring and Evaluation officer</t>
  </si>
  <si>
    <t xml:space="preserve"> Head of Operations  </t>
  </si>
  <si>
    <t>Country Human Ressources Manager</t>
  </si>
  <si>
    <t>Logistic and Admin Manager</t>
  </si>
  <si>
    <t>Internal control Manager</t>
  </si>
  <si>
    <t>IT Manager</t>
  </si>
  <si>
    <t xml:space="preserve"> DRM &amp;R Manager  </t>
  </si>
  <si>
    <t>Senior Grant accountant</t>
  </si>
  <si>
    <t>Procurement officer</t>
  </si>
  <si>
    <t xml:space="preserve"> Head of Programmes   </t>
  </si>
  <si>
    <t>Child Protection Program manager</t>
  </si>
  <si>
    <t xml:space="preserve">SRHR Advisor </t>
  </si>
  <si>
    <t>Emergency Response Officer</t>
  </si>
  <si>
    <t>Spécialiste CPiE</t>
  </si>
  <si>
    <t>Spécialiste GiE</t>
  </si>
  <si>
    <t>Programme Finance &amp; Compliance Officer</t>
  </si>
  <si>
    <t xml:space="preserve"> FueL Cost  </t>
  </si>
  <si>
    <t xml:space="preserve"> Vehicle Maintenance &amp; Other related cost </t>
  </si>
  <si>
    <t xml:space="preserve"> Purchasing of Tyres </t>
  </si>
  <si>
    <t>Semester</t>
  </si>
  <si>
    <t>Travels BNO staffs</t>
  </si>
  <si>
    <t>Flights</t>
  </si>
  <si>
    <t>Communication &amp; Internet</t>
  </si>
  <si>
    <t>Visibility</t>
  </si>
  <si>
    <t xml:space="preserve"> CO- Contribution for office rent  </t>
  </si>
  <si>
    <t xml:space="preserve"> CO- Office utilities </t>
  </si>
  <si>
    <t>SAP Contribution</t>
  </si>
  <si>
    <t>Bank charges &amp; Commission</t>
  </si>
  <si>
    <t>External Final Evaluation</t>
  </si>
  <si>
    <t>R0-A1 : Internal baseline</t>
  </si>
  <si>
    <t>R0-A2 : Project staffs monitoring of activities</t>
  </si>
  <si>
    <t>R0-A3 / Project Team Specific trainings (including training on M&amp;E tools)</t>
  </si>
  <si>
    <t>R0-A4 / Start-up &amp; Closing Workshop</t>
  </si>
  <si>
    <t>R5A2</t>
  </si>
  <si>
    <t>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</si>
</sst>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[$XOF]\ #,##0.00"/>
    <numFmt numFmtId="167" formatCode="[$€-2]\ #,##0.00"/>
    <numFmt numFmtId="168" formatCode="_-* #,##0\ _€_-;\-* #,##0\ _€_-;_-* &quot;-&quot;??\ _€_-;_-@_-"/>
    <numFmt numFmtId="169" formatCode="#,##0.00\ &quot;€&quot;"/>
    <numFmt numFmtId="170" formatCode="0.0%"/>
    <numFmt numFmtId="171" formatCode="[$€-2]\ #,##0.00;[Red][$€-2]\ #,##0.00"/>
    <numFmt numFmtId="172" formatCode="_(* #,##0_);_(* \(#,##0\);_(* &quot;-&quot;??_);_(@_)"/>
    <numFmt numFmtId="173" formatCode="_-[$€-2]\ * #,##0.00_-;\-[$€-2]\ * #,##0.00_-;_-[$€-2]\ * &quot;-&quot;??_-;_-@_-"/>
    <numFmt numFmtId="174" formatCode="#,##0.00\ [$UGX]"/>
    <numFmt numFmtId="175" formatCode="_-* #,##0.00\ [$€-813]_-;\-* #,##0.00\ [$€-813]_-;_-* &quot;-&quot;??\ [$€-813]_-;_-@_-"/>
    <numFmt numFmtId="176" formatCode="[$€-2]\ #,##0.000"/>
  </numFmts>
  <fonts count="40">
    <font>
      <sz val="11"/>
      <color theme="1"/>
      <name val="Calibri"/>
      <family val="2"/>
      <scheme val="minor"/>
    </font>
    <font>
      <sz val="10"/>
      <name val="Plan"/>
      <family val="2"/>
    </font>
    <font>
      <b/>
      <sz val="10"/>
      <name val="Plan"/>
      <family val="2"/>
    </font>
    <font>
      <sz val="12"/>
      <name val="Plan"/>
      <family val="2"/>
    </font>
    <font>
      <sz val="10"/>
      <name val="Arial"/>
      <family val="2"/>
    </font>
    <font>
      <b/>
      <sz val="9"/>
      <name val="Plan"/>
      <family val="2"/>
    </font>
    <font>
      <b/>
      <sz val="12"/>
      <color theme="0"/>
      <name val="Plan"/>
      <family val="2"/>
    </font>
    <font>
      <b/>
      <u/>
      <sz val="10"/>
      <name val="Plan"/>
      <family val="2"/>
    </font>
    <font>
      <b/>
      <sz val="10"/>
      <color theme="1"/>
      <name val="Plan"/>
      <family val="2"/>
    </font>
    <font>
      <sz val="10"/>
      <color theme="1"/>
      <name val="Plan"/>
      <family val="2"/>
    </font>
    <font>
      <b/>
      <sz val="10"/>
      <color rgb="FFFF0000"/>
      <name val="Plan"/>
      <family val="2"/>
    </font>
    <font>
      <sz val="11"/>
      <color theme="1"/>
      <name val="Calibri"/>
      <family val="2"/>
      <scheme val="minor"/>
    </font>
    <font>
      <b/>
      <u/>
      <sz val="14"/>
      <name val="Plan"/>
      <family val="2"/>
    </font>
    <font>
      <b/>
      <sz val="14"/>
      <name val="Plan"/>
      <family val="2"/>
    </font>
    <font>
      <sz val="14"/>
      <name val="Plan"/>
      <family val="2"/>
    </font>
    <font>
      <sz val="9"/>
      <name val="Plan"/>
      <family val="2"/>
    </font>
    <font>
      <b/>
      <sz val="10"/>
      <color theme="0"/>
      <name val="Plan"/>
      <family val="2"/>
    </font>
    <font>
      <b/>
      <sz val="10"/>
      <name val="Plan"/>
    </font>
    <font>
      <b/>
      <sz val="10"/>
      <color rgb="FFFF0000"/>
      <name val="Plan"/>
    </font>
    <font>
      <sz val="10"/>
      <name val="Plan"/>
    </font>
    <font>
      <sz val="12"/>
      <name val="Plan"/>
    </font>
    <font>
      <b/>
      <sz val="12"/>
      <name val="Plan"/>
    </font>
    <font>
      <sz val="9"/>
      <name val="Plan"/>
    </font>
    <font>
      <b/>
      <sz val="12"/>
      <color theme="0"/>
      <name val="Plan"/>
    </font>
    <font>
      <b/>
      <sz val="10"/>
      <color theme="0"/>
      <name val="Plan"/>
    </font>
    <font>
      <sz val="10"/>
      <color theme="1"/>
      <name val="Plan"/>
    </font>
    <font>
      <b/>
      <u/>
      <sz val="10"/>
      <name val="Plan"/>
    </font>
    <font>
      <b/>
      <u/>
      <sz val="14"/>
      <color rgb="FF000000"/>
      <name val="Plan"/>
    </font>
    <font>
      <b/>
      <sz val="14"/>
      <color rgb="FF000000"/>
      <name val="Plan"/>
    </font>
    <font>
      <sz val="10"/>
      <color rgb="FF000000"/>
      <name val="Plan"/>
      <family val="2"/>
    </font>
    <font>
      <b/>
      <sz val="10"/>
      <color theme="1"/>
      <name val="Plan"/>
    </font>
    <font>
      <sz val="11"/>
      <color theme="1"/>
      <name val="Roboto"/>
    </font>
    <font>
      <sz val="8"/>
      <name val="Calibri"/>
      <family val="2"/>
      <scheme val="minor"/>
    </font>
    <font>
      <b/>
      <sz val="12"/>
      <color theme="0"/>
      <name val="Roboto"/>
    </font>
    <font>
      <sz val="8"/>
      <name val="Plan"/>
      <family val="2"/>
    </font>
    <font>
      <b/>
      <sz val="8"/>
      <name val="Plan"/>
      <family val="2"/>
    </font>
    <font>
      <b/>
      <u/>
      <sz val="8"/>
      <name val="Plan"/>
      <family val="2"/>
    </font>
    <font>
      <b/>
      <sz val="8"/>
      <color theme="0"/>
      <name val="Plan"/>
      <family val="2"/>
    </font>
    <font>
      <sz val="8"/>
      <color theme="1"/>
      <name val="Plan"/>
      <family val="2"/>
    </font>
    <font>
      <b/>
      <sz val="20"/>
      <color theme="0"/>
      <name val="Roboto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438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80C4D6"/>
        <bgColor indexed="64"/>
      </patternFill>
    </fill>
    <fill>
      <patternFill patternType="solid">
        <fgColor rgb="FFB3DCE7"/>
        <bgColor indexed="64"/>
      </patternFill>
    </fill>
    <fill>
      <patternFill patternType="solid">
        <fgColor rgb="FF81C2D4"/>
        <bgColor indexed="64"/>
      </patternFill>
    </fill>
    <fill>
      <patternFill patternType="solid">
        <fgColor rgb="FF004A8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310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2" fillId="3" borderId="0" xfId="1" applyFont="1" applyFill="1" applyAlignment="1" applyProtection="1">
      <alignment horizontal="center" vertical="center" wrapText="1"/>
      <protection locked="0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167" fontId="6" fillId="4" borderId="3" xfId="2" applyNumberFormat="1" applyFont="1" applyFill="1" applyBorder="1" applyAlignment="1" applyProtection="1">
      <alignment vertical="center"/>
      <protection locked="0"/>
    </xf>
    <xf numFmtId="165" fontId="2" fillId="3" borderId="0" xfId="3" applyFont="1" applyFill="1" applyAlignment="1" applyProtection="1">
      <alignment vertical="center"/>
      <protection locked="0"/>
    </xf>
    <xf numFmtId="0" fontId="7" fillId="3" borderId="0" xfId="1" applyFont="1" applyFill="1" applyAlignment="1" applyProtection="1">
      <alignment vertical="center"/>
      <protection locked="0"/>
    </xf>
    <xf numFmtId="165" fontId="8" fillId="5" borderId="0" xfId="3" applyFont="1" applyFill="1" applyAlignment="1" applyProtection="1">
      <alignment vertical="center"/>
      <protection locked="0"/>
    </xf>
    <xf numFmtId="165" fontId="2" fillId="5" borderId="0" xfId="3" applyFont="1" applyFill="1" applyAlignment="1" applyProtection="1">
      <alignment vertical="center"/>
      <protection locked="0"/>
    </xf>
    <xf numFmtId="165" fontId="2" fillId="3" borderId="0" xfId="3" applyFont="1" applyFill="1" applyAlignment="1">
      <alignment vertical="center"/>
    </xf>
    <xf numFmtId="0" fontId="1" fillId="3" borderId="0" xfId="1" applyFont="1" applyFill="1" applyAlignment="1" applyProtection="1">
      <alignment vertical="center"/>
      <protection locked="0"/>
    </xf>
    <xf numFmtId="0" fontId="1" fillId="3" borderId="0" xfId="1" applyFont="1" applyFill="1" applyAlignment="1">
      <alignment vertical="center"/>
    </xf>
    <xf numFmtId="168" fontId="1" fillId="3" borderId="0" xfId="1" applyNumberFormat="1" applyFont="1" applyFill="1" applyAlignment="1" applyProtection="1">
      <alignment vertical="center"/>
      <protection locked="0"/>
    </xf>
    <xf numFmtId="0" fontId="1" fillId="3" borderId="0" xfId="1" applyFont="1" applyFill="1" applyAlignment="1" applyProtection="1">
      <alignment vertical="center" wrapText="1"/>
      <protection locked="0"/>
    </xf>
    <xf numFmtId="0" fontId="15" fillId="3" borderId="0" xfId="1" applyFont="1" applyFill="1" applyAlignment="1" applyProtection="1">
      <alignment vertical="center"/>
      <protection locked="0"/>
    </xf>
    <xf numFmtId="0" fontId="15" fillId="3" borderId="0" xfId="1" applyFont="1" applyFill="1" applyAlignment="1" applyProtection="1">
      <alignment vertical="center" wrapText="1"/>
      <protection locked="0"/>
    </xf>
    <xf numFmtId="0" fontId="6" fillId="4" borderId="3" xfId="1" applyFont="1" applyFill="1" applyBorder="1" applyAlignment="1" applyProtection="1">
      <alignment vertical="center" wrapText="1"/>
      <protection locked="0"/>
    </xf>
    <xf numFmtId="9" fontId="6" fillId="4" borderId="3" xfId="4" applyFont="1" applyFill="1" applyBorder="1" applyAlignment="1" applyProtection="1">
      <alignment vertical="center"/>
      <protection locked="0"/>
    </xf>
    <xf numFmtId="164" fontId="6" fillId="4" borderId="3" xfId="2" applyNumberFormat="1" applyFont="1" applyFill="1" applyBorder="1" applyAlignment="1" applyProtection="1">
      <alignment vertical="center"/>
      <protection locked="0"/>
    </xf>
    <xf numFmtId="167" fontId="6" fillId="4" borderId="3" xfId="2" applyNumberFormat="1" applyFont="1" applyFill="1" applyBorder="1" applyAlignment="1">
      <alignment vertical="center"/>
    </xf>
    <xf numFmtId="0" fontId="16" fillId="6" borderId="4" xfId="1" applyFont="1" applyFill="1" applyBorder="1" applyAlignment="1" applyProtection="1">
      <alignment vertical="center"/>
      <protection locked="0"/>
    </xf>
    <xf numFmtId="0" fontId="16" fillId="6" borderId="3" xfId="1" applyFont="1" applyFill="1" applyBorder="1" applyAlignment="1" applyProtection="1">
      <alignment vertical="center"/>
      <protection locked="0"/>
    </xf>
    <xf numFmtId="0" fontId="16" fillId="6" borderId="3" xfId="1" applyFont="1" applyFill="1" applyBorder="1" applyAlignment="1" applyProtection="1">
      <alignment vertical="center" wrapText="1"/>
      <protection locked="0"/>
    </xf>
    <xf numFmtId="9" fontId="16" fillId="6" borderId="3" xfId="4" applyFont="1" applyFill="1" applyBorder="1" applyAlignment="1" applyProtection="1">
      <alignment vertical="center"/>
      <protection locked="0"/>
    </xf>
    <xf numFmtId="165" fontId="16" fillId="6" borderId="3" xfId="1" applyNumberFormat="1" applyFont="1" applyFill="1" applyBorder="1" applyAlignment="1" applyProtection="1">
      <alignment vertical="center"/>
      <protection locked="0"/>
    </xf>
    <xf numFmtId="167" fontId="16" fillId="6" borderId="3" xfId="1" applyNumberFormat="1" applyFont="1" applyFill="1" applyBorder="1" applyAlignment="1">
      <alignment vertical="center"/>
    </xf>
    <xf numFmtId="167" fontId="16" fillId="6" borderId="3" xfId="1" applyNumberFormat="1" applyFont="1" applyFill="1" applyBorder="1" applyAlignment="1" applyProtection="1">
      <alignment vertical="center"/>
      <protection locked="0"/>
    </xf>
    <xf numFmtId="165" fontId="10" fillId="3" borderId="0" xfId="3" applyFont="1" applyFill="1" applyAlignment="1" applyProtection="1">
      <alignment vertical="center"/>
      <protection locked="0"/>
    </xf>
    <xf numFmtId="165" fontId="1" fillId="3" borderId="4" xfId="3" applyFont="1" applyFill="1" applyBorder="1" applyAlignment="1" applyProtection="1">
      <alignment vertical="center"/>
      <protection locked="0"/>
    </xf>
    <xf numFmtId="0" fontId="1" fillId="7" borderId="3" xfId="3" applyNumberFormat="1" applyFont="1" applyFill="1" applyBorder="1" applyAlignment="1" applyProtection="1">
      <alignment vertical="center" wrapText="1"/>
      <protection locked="0"/>
    </xf>
    <xf numFmtId="165" fontId="1" fillId="7" borderId="3" xfId="3" applyFont="1" applyFill="1" applyBorder="1" applyAlignment="1" applyProtection="1">
      <alignment vertical="center"/>
      <protection locked="0"/>
    </xf>
    <xf numFmtId="9" fontId="1" fillId="7" borderId="3" xfId="4" applyFont="1" applyFill="1" applyBorder="1" applyAlignment="1" applyProtection="1">
      <alignment vertical="center"/>
      <protection locked="0"/>
    </xf>
    <xf numFmtId="165" fontId="1" fillId="7" borderId="3" xfId="3" applyFont="1" applyFill="1" applyBorder="1" applyAlignment="1" applyProtection="1">
      <alignment vertical="center"/>
    </xf>
    <xf numFmtId="167" fontId="1" fillId="7" borderId="3" xfId="3" applyNumberFormat="1" applyFont="1" applyFill="1" applyBorder="1" applyAlignment="1" applyProtection="1">
      <alignment vertical="center"/>
    </xf>
    <xf numFmtId="167" fontId="1" fillId="7" borderId="3" xfId="3" applyNumberFormat="1" applyFont="1" applyFill="1" applyBorder="1" applyAlignment="1" applyProtection="1">
      <alignment vertical="center"/>
      <protection locked="0"/>
    </xf>
    <xf numFmtId="165" fontId="8" fillId="3" borderId="0" xfId="3" applyFont="1" applyFill="1" applyAlignment="1" applyProtection="1">
      <alignment vertical="center"/>
      <protection locked="0"/>
    </xf>
    <xf numFmtId="165" fontId="9" fillId="8" borderId="3" xfId="3" applyFont="1" applyFill="1" applyBorder="1" applyAlignment="1" applyProtection="1">
      <alignment vertical="center"/>
      <protection locked="0"/>
    </xf>
    <xf numFmtId="0" fontId="9" fillId="8" borderId="3" xfId="3" applyNumberFormat="1" applyFont="1" applyFill="1" applyBorder="1" applyAlignment="1" applyProtection="1">
      <alignment vertical="center" wrapText="1"/>
      <protection locked="0"/>
    </xf>
    <xf numFmtId="9" fontId="9" fillId="8" borderId="3" xfId="4" applyFont="1" applyFill="1" applyBorder="1" applyAlignment="1" applyProtection="1">
      <alignment vertical="center"/>
      <protection locked="0"/>
    </xf>
    <xf numFmtId="167" fontId="9" fillId="8" borderId="3" xfId="3" applyNumberFormat="1" applyFont="1" applyFill="1" applyBorder="1" applyAlignment="1" applyProtection="1">
      <alignment vertical="center"/>
    </xf>
    <xf numFmtId="167" fontId="9" fillId="8" borderId="3" xfId="3" applyNumberFormat="1" applyFont="1" applyFill="1" applyBorder="1" applyAlignment="1" applyProtection="1">
      <alignment vertical="center"/>
      <protection locked="0"/>
    </xf>
    <xf numFmtId="165" fontId="1" fillId="9" borderId="3" xfId="3" applyFont="1" applyFill="1" applyBorder="1" applyAlignment="1" applyProtection="1">
      <alignment horizontal="left" vertical="center" indent="1"/>
      <protection locked="0"/>
    </xf>
    <xf numFmtId="165" fontId="1" fillId="9" borderId="3" xfId="3" applyFont="1" applyFill="1" applyBorder="1" applyAlignment="1" applyProtection="1">
      <alignment vertical="center"/>
      <protection locked="0"/>
    </xf>
    <xf numFmtId="0" fontId="1" fillId="9" borderId="3" xfId="3" applyNumberFormat="1" applyFont="1" applyFill="1" applyBorder="1" applyAlignment="1" applyProtection="1">
      <alignment vertical="center" wrapText="1"/>
      <protection locked="0"/>
    </xf>
    <xf numFmtId="9" fontId="1" fillId="9" borderId="3" xfId="4" applyFont="1" applyFill="1" applyBorder="1" applyAlignment="1" applyProtection="1">
      <alignment vertical="center"/>
      <protection locked="0"/>
    </xf>
    <xf numFmtId="167" fontId="1" fillId="9" borderId="3" xfId="3" applyNumberFormat="1" applyFont="1" applyFill="1" applyBorder="1" applyAlignment="1" applyProtection="1">
      <alignment vertical="center"/>
    </xf>
    <xf numFmtId="167" fontId="1" fillId="9" borderId="3" xfId="3" applyNumberFormat="1" applyFont="1" applyFill="1" applyBorder="1" applyAlignment="1" applyProtection="1">
      <alignment vertical="center"/>
      <protection locked="0"/>
    </xf>
    <xf numFmtId="165" fontId="8" fillId="8" borderId="3" xfId="3" applyFont="1" applyFill="1" applyBorder="1" applyAlignment="1" applyProtection="1">
      <alignment vertical="center"/>
      <protection locked="0"/>
    </xf>
    <xf numFmtId="0" fontId="8" fillId="8" borderId="3" xfId="3" applyNumberFormat="1" applyFont="1" applyFill="1" applyBorder="1" applyAlignment="1" applyProtection="1">
      <alignment vertical="center" wrapText="1"/>
      <protection locked="0"/>
    </xf>
    <xf numFmtId="9" fontId="8" fillId="8" borderId="3" xfId="4" applyFont="1" applyFill="1" applyBorder="1" applyAlignment="1" applyProtection="1">
      <alignment vertical="center"/>
      <protection locked="0"/>
    </xf>
    <xf numFmtId="167" fontId="8" fillId="8" borderId="3" xfId="3" applyNumberFormat="1" applyFont="1" applyFill="1" applyBorder="1" applyAlignment="1" applyProtection="1">
      <alignment vertical="center"/>
    </xf>
    <xf numFmtId="166" fontId="2" fillId="3" borderId="0" xfId="1" applyNumberFormat="1" applyFont="1" applyFill="1" applyAlignment="1" applyProtection="1">
      <alignment vertical="center"/>
      <protection locked="0"/>
    </xf>
    <xf numFmtId="167" fontId="2" fillId="3" borderId="0" xfId="1" applyNumberFormat="1" applyFont="1" applyFill="1" applyAlignment="1" applyProtection="1">
      <alignment vertical="center"/>
      <protection locked="0"/>
    </xf>
    <xf numFmtId="167" fontId="16" fillId="6" borderId="8" xfId="1" applyNumberFormat="1" applyFont="1" applyFill="1" applyBorder="1" applyAlignment="1">
      <alignment vertical="center"/>
    </xf>
    <xf numFmtId="0" fontId="6" fillId="6" borderId="4" xfId="1" applyFont="1" applyFill="1" applyBorder="1" applyAlignment="1" applyProtection="1">
      <alignment vertical="center"/>
      <protection locked="0"/>
    </xf>
    <xf numFmtId="0" fontId="6" fillId="6" borderId="3" xfId="1" applyFont="1" applyFill="1" applyBorder="1" applyAlignment="1" applyProtection="1">
      <alignment vertical="center"/>
      <protection locked="0"/>
    </xf>
    <xf numFmtId="0" fontId="6" fillId="6" borderId="3" xfId="1" applyFont="1" applyFill="1" applyBorder="1" applyAlignment="1" applyProtection="1">
      <alignment vertical="center" wrapText="1"/>
      <protection locked="0"/>
    </xf>
    <xf numFmtId="9" fontId="6" fillId="6" borderId="3" xfId="4" applyFont="1" applyFill="1" applyBorder="1" applyAlignment="1" applyProtection="1">
      <alignment vertical="center"/>
      <protection locked="0"/>
    </xf>
    <xf numFmtId="164" fontId="6" fillId="6" borderId="3" xfId="2" applyNumberFormat="1" applyFont="1" applyFill="1" applyBorder="1" applyAlignment="1" applyProtection="1">
      <alignment vertical="center"/>
      <protection locked="0"/>
    </xf>
    <xf numFmtId="167" fontId="6" fillId="6" borderId="3" xfId="2" applyNumberFormat="1" applyFont="1" applyFill="1" applyBorder="1" applyAlignment="1">
      <alignment vertical="center"/>
    </xf>
    <xf numFmtId="167" fontId="6" fillId="6" borderId="3" xfId="2" applyNumberFormat="1" applyFont="1" applyFill="1" applyBorder="1" applyAlignment="1" applyProtection="1">
      <alignment vertical="center"/>
      <protection locked="0"/>
    </xf>
    <xf numFmtId="9" fontId="1" fillId="3" borderId="0" xfId="4" applyFont="1" applyFill="1" applyAlignment="1" applyProtection="1">
      <alignment vertical="center"/>
      <protection locked="0"/>
    </xf>
    <xf numFmtId="167" fontId="1" fillId="3" borderId="0" xfId="1" applyNumberFormat="1" applyFont="1" applyFill="1" applyAlignment="1" applyProtection="1">
      <alignment vertical="center"/>
      <protection locked="0"/>
    </xf>
    <xf numFmtId="0" fontId="15" fillId="3" borderId="0" xfId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9" fontId="13" fillId="2" borderId="0" xfId="4" applyFont="1" applyFill="1" applyAlignment="1">
      <alignment vertical="center"/>
    </xf>
    <xf numFmtId="0" fontId="3" fillId="2" borderId="0" xfId="0" applyFont="1" applyFill="1" applyAlignment="1">
      <alignment vertical="center"/>
    </xf>
    <xf numFmtId="166" fontId="1" fillId="3" borderId="0" xfId="1" applyNumberFormat="1" applyFont="1" applyFill="1" applyAlignment="1">
      <alignment vertical="center"/>
    </xf>
    <xf numFmtId="16" fontId="1" fillId="3" borderId="0" xfId="1" applyNumberFormat="1" applyFont="1" applyFill="1" applyAlignment="1">
      <alignment vertical="center"/>
    </xf>
    <xf numFmtId="9" fontId="1" fillId="3" borderId="0" xfId="4" applyFont="1" applyFill="1" applyAlignment="1">
      <alignment vertical="center"/>
    </xf>
    <xf numFmtId="171" fontId="6" fillId="4" borderId="3" xfId="2" applyNumberFormat="1" applyFont="1" applyFill="1" applyBorder="1" applyAlignment="1" applyProtection="1">
      <alignment vertical="center"/>
      <protection locked="0"/>
    </xf>
    <xf numFmtId="171" fontId="16" fillId="6" borderId="3" xfId="1" applyNumberFormat="1" applyFont="1" applyFill="1" applyBorder="1" applyAlignment="1" applyProtection="1">
      <alignment vertical="center"/>
      <protection locked="0"/>
    </xf>
    <xf numFmtId="9" fontId="1" fillId="7" borderId="3" xfId="3" applyNumberFormat="1" applyFont="1" applyFill="1" applyBorder="1" applyAlignment="1" applyProtection="1">
      <alignment vertical="center"/>
      <protection locked="0"/>
    </xf>
    <xf numFmtId="1" fontId="1" fillId="7" borderId="3" xfId="4" applyNumberFormat="1" applyFont="1" applyFill="1" applyBorder="1" applyAlignment="1" applyProtection="1">
      <alignment vertical="center"/>
      <protection locked="0"/>
    </xf>
    <xf numFmtId="171" fontId="1" fillId="7" borderId="3" xfId="3" applyNumberFormat="1" applyFont="1" applyFill="1" applyBorder="1" applyAlignment="1" applyProtection="1">
      <alignment vertical="center"/>
      <protection locked="0"/>
    </xf>
    <xf numFmtId="171" fontId="9" fillId="8" borderId="3" xfId="3" applyNumberFormat="1" applyFont="1" applyFill="1" applyBorder="1" applyAlignment="1" applyProtection="1">
      <alignment vertical="center"/>
      <protection locked="0"/>
    </xf>
    <xf numFmtId="172" fontId="1" fillId="7" borderId="3" xfId="3" applyNumberFormat="1" applyFont="1" applyFill="1" applyBorder="1" applyAlignment="1" applyProtection="1">
      <alignment vertical="center"/>
      <protection locked="0"/>
    </xf>
    <xf numFmtId="0" fontId="1" fillId="7" borderId="3" xfId="3" applyNumberFormat="1" applyFont="1" applyFill="1" applyBorder="1" applyAlignment="1" applyProtection="1">
      <alignment vertical="center"/>
      <protection locked="0"/>
    </xf>
    <xf numFmtId="0" fontId="1" fillId="7" borderId="3" xfId="4" applyNumberFormat="1" applyFont="1" applyFill="1" applyBorder="1" applyAlignment="1" applyProtection="1">
      <alignment vertical="center"/>
      <protection locked="0"/>
    </xf>
    <xf numFmtId="171" fontId="1" fillId="9" borderId="3" xfId="3" applyNumberFormat="1" applyFont="1" applyFill="1" applyBorder="1" applyAlignment="1" applyProtection="1">
      <alignment vertical="center"/>
      <protection locked="0"/>
    </xf>
    <xf numFmtId="166" fontId="2" fillId="3" borderId="0" xfId="1" applyNumberFormat="1" applyFont="1" applyFill="1" applyAlignment="1">
      <alignment vertical="center"/>
    </xf>
    <xf numFmtId="167" fontId="2" fillId="3" borderId="0" xfId="1" applyNumberFormat="1" applyFont="1" applyFill="1" applyAlignment="1">
      <alignment vertical="center"/>
    </xf>
    <xf numFmtId="171" fontId="2" fillId="3" borderId="0" xfId="1" applyNumberFormat="1" applyFont="1" applyFill="1" applyAlignment="1">
      <alignment vertical="center"/>
    </xf>
    <xf numFmtId="167" fontId="1" fillId="3" borderId="0" xfId="1" applyNumberFormat="1" applyFont="1" applyFill="1" applyAlignment="1">
      <alignment vertical="center"/>
    </xf>
    <xf numFmtId="171" fontId="1" fillId="3" borderId="0" xfId="1" applyNumberFormat="1" applyFont="1" applyFill="1" applyAlignment="1">
      <alignment vertical="center"/>
    </xf>
    <xf numFmtId="168" fontId="1" fillId="3" borderId="0" xfId="1" applyNumberFormat="1" applyFont="1" applyFill="1" applyAlignment="1">
      <alignment vertical="center"/>
    </xf>
    <xf numFmtId="164" fontId="1" fillId="3" borderId="0" xfId="1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0" fillId="5" borderId="0" xfId="0" applyFill="1"/>
    <xf numFmtId="167" fontId="3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166" fontId="16" fillId="6" borderId="3" xfId="1" applyNumberFormat="1" applyFont="1" applyFill="1" applyBorder="1" applyAlignment="1" applyProtection="1">
      <alignment vertical="center"/>
      <protection locked="0"/>
    </xf>
    <xf numFmtId="166" fontId="1" fillId="7" borderId="3" xfId="3" applyNumberFormat="1" applyFont="1" applyFill="1" applyBorder="1" applyAlignment="1" applyProtection="1">
      <alignment vertical="center"/>
      <protection locked="0"/>
    </xf>
    <xf numFmtId="165" fontId="1" fillId="7" borderId="13" xfId="3" applyFont="1" applyFill="1" applyBorder="1" applyAlignment="1" applyProtection="1">
      <alignment vertical="center"/>
      <protection locked="0"/>
    </xf>
    <xf numFmtId="165" fontId="9" fillId="8" borderId="6" xfId="3" applyFont="1" applyFill="1" applyBorder="1" applyAlignment="1" applyProtection="1">
      <alignment vertical="center"/>
      <protection locked="0"/>
    </xf>
    <xf numFmtId="9" fontId="9" fillId="8" borderId="6" xfId="4" applyFont="1" applyFill="1" applyBorder="1" applyAlignment="1" applyProtection="1">
      <alignment vertical="center"/>
      <protection locked="0"/>
    </xf>
    <xf numFmtId="167" fontId="9" fillId="8" borderId="6" xfId="3" applyNumberFormat="1" applyFont="1" applyFill="1" applyBorder="1" applyAlignment="1" applyProtection="1">
      <alignment vertical="center"/>
      <protection locked="0"/>
    </xf>
    <xf numFmtId="165" fontId="1" fillId="3" borderId="13" xfId="3" applyFont="1" applyFill="1" applyBorder="1" applyAlignment="1" applyProtection="1">
      <alignment vertical="center"/>
      <protection locked="0"/>
    </xf>
    <xf numFmtId="165" fontId="1" fillId="7" borderId="7" xfId="3" applyFont="1" applyFill="1" applyBorder="1" applyAlignment="1" applyProtection="1">
      <alignment vertical="center"/>
      <protection locked="0"/>
    </xf>
    <xf numFmtId="9" fontId="1" fillId="7" borderId="7" xfId="4" applyFont="1" applyFill="1" applyBorder="1" applyAlignment="1" applyProtection="1">
      <alignment vertical="center"/>
      <protection locked="0"/>
    </xf>
    <xf numFmtId="167" fontId="1" fillId="7" borderId="7" xfId="3" applyNumberFormat="1" applyFont="1" applyFill="1" applyBorder="1" applyAlignment="1" applyProtection="1">
      <alignment vertical="center"/>
      <protection locked="0"/>
    </xf>
    <xf numFmtId="170" fontId="1" fillId="7" borderId="3" xfId="4" applyNumberFormat="1" applyFont="1" applyFill="1" applyBorder="1" applyAlignment="1" applyProtection="1">
      <alignment vertical="center"/>
      <protection locked="0"/>
    </xf>
    <xf numFmtId="173" fontId="1" fillId="7" borderId="3" xfId="3" applyNumberFormat="1" applyFont="1" applyFill="1" applyBorder="1" applyAlignment="1" applyProtection="1">
      <alignment vertical="center"/>
      <protection locked="0"/>
    </xf>
    <xf numFmtId="165" fontId="1" fillId="7" borderId="3" xfId="3" applyFont="1" applyFill="1" applyBorder="1" applyAlignment="1" applyProtection="1">
      <alignment vertical="center" wrapText="1"/>
      <protection locked="0"/>
    </xf>
    <xf numFmtId="9" fontId="13" fillId="2" borderId="0" xfId="6" applyFont="1" applyFill="1" applyAlignment="1">
      <alignment vertical="center"/>
    </xf>
    <xf numFmtId="1" fontId="1" fillId="3" borderId="0" xfId="3" applyNumberFormat="1" applyFont="1" applyFill="1" applyAlignment="1">
      <alignment vertical="center"/>
    </xf>
    <xf numFmtId="9" fontId="1" fillId="3" borderId="0" xfId="6" applyFont="1" applyFill="1" applyAlignment="1">
      <alignment vertical="center"/>
    </xf>
    <xf numFmtId="9" fontId="6" fillId="4" borderId="3" xfId="6" applyFont="1" applyFill="1" applyBorder="1" applyAlignment="1" applyProtection="1">
      <alignment vertical="center"/>
      <protection locked="0"/>
    </xf>
    <xf numFmtId="166" fontId="6" fillId="4" borderId="3" xfId="2" applyNumberFormat="1" applyFont="1" applyFill="1" applyBorder="1" applyAlignment="1" applyProtection="1">
      <alignment vertical="center"/>
      <protection locked="0"/>
    </xf>
    <xf numFmtId="9" fontId="16" fillId="6" borderId="3" xfId="6" applyFont="1" applyFill="1" applyBorder="1" applyAlignment="1" applyProtection="1">
      <alignment vertical="center"/>
      <protection locked="0"/>
    </xf>
    <xf numFmtId="9" fontId="1" fillId="7" borderId="3" xfId="6" applyFont="1" applyFill="1" applyBorder="1" applyAlignment="1" applyProtection="1">
      <alignment vertical="center"/>
      <protection locked="0"/>
    </xf>
    <xf numFmtId="44" fontId="1" fillId="7" borderId="3" xfId="5" applyFont="1" applyFill="1" applyBorder="1" applyAlignment="1">
      <alignment vertical="center"/>
    </xf>
    <xf numFmtId="9" fontId="9" fillId="8" borderId="3" xfId="6" applyFont="1" applyFill="1" applyBorder="1" applyAlignment="1" applyProtection="1">
      <alignment vertical="center"/>
      <protection locked="0"/>
    </xf>
    <xf numFmtId="44" fontId="1" fillId="7" borderId="3" xfId="5" applyFont="1" applyFill="1" applyBorder="1" applyAlignment="1" applyProtection="1">
      <alignment vertical="center"/>
      <protection locked="0"/>
    </xf>
    <xf numFmtId="165" fontId="1" fillId="7" borderId="3" xfId="8" applyFont="1" applyFill="1" applyBorder="1" applyAlignment="1" applyProtection="1">
      <alignment vertical="center"/>
      <protection locked="0"/>
    </xf>
    <xf numFmtId="9" fontId="1" fillId="9" borderId="3" xfId="6" applyFont="1" applyFill="1" applyBorder="1" applyAlignment="1" applyProtection="1">
      <alignment vertical="center"/>
      <protection locked="0"/>
    </xf>
    <xf numFmtId="169" fontId="6" fillId="4" borderId="3" xfId="2" applyNumberFormat="1" applyFont="1" applyFill="1" applyBorder="1" applyAlignment="1" applyProtection="1">
      <alignment vertical="center"/>
      <protection locked="0"/>
    </xf>
    <xf numFmtId="165" fontId="17" fillId="3" borderId="0" xfId="3" applyFont="1" applyFill="1" applyAlignment="1" applyProtection="1">
      <alignment vertical="center"/>
      <protection locked="0"/>
    </xf>
    <xf numFmtId="165" fontId="18" fillId="3" borderId="0" xfId="3" applyFont="1" applyFill="1" applyAlignment="1" applyProtection="1">
      <alignment vertical="center"/>
      <protection locked="0"/>
    </xf>
    <xf numFmtId="165" fontId="19" fillId="3" borderId="4" xfId="3" applyFont="1" applyFill="1" applyBorder="1" applyAlignment="1" applyProtection="1">
      <alignment vertical="center"/>
      <protection locked="0"/>
    </xf>
    <xf numFmtId="165" fontId="19" fillId="7" borderId="3" xfId="3" applyFont="1" applyFill="1" applyBorder="1" applyAlignment="1" applyProtection="1">
      <alignment vertical="center"/>
      <protection locked="0"/>
    </xf>
    <xf numFmtId="9" fontId="19" fillId="7" borderId="3" xfId="6" applyFont="1" applyFill="1" applyBorder="1" applyAlignment="1" applyProtection="1">
      <alignment vertical="center"/>
      <protection locked="0"/>
    </xf>
    <xf numFmtId="167" fontId="19" fillId="7" borderId="3" xfId="3" applyNumberFormat="1" applyFont="1" applyFill="1" applyBorder="1" applyAlignment="1" applyProtection="1">
      <alignment vertical="center"/>
      <protection locked="0"/>
    </xf>
    <xf numFmtId="0" fontId="19" fillId="3" borderId="0" xfId="1" applyFont="1" applyFill="1" applyAlignment="1">
      <alignment vertical="center"/>
    </xf>
    <xf numFmtId="165" fontId="17" fillId="3" borderId="0" xfId="3" applyFont="1" applyFill="1" applyAlignment="1">
      <alignment vertical="center"/>
    </xf>
    <xf numFmtId="168" fontId="19" fillId="3" borderId="0" xfId="1" applyNumberFormat="1" applyFont="1" applyFill="1" applyAlignment="1">
      <alignment vertical="center"/>
    </xf>
    <xf numFmtId="167" fontId="19" fillId="3" borderId="0" xfId="1" applyNumberFormat="1" applyFont="1" applyFill="1" applyAlignment="1">
      <alignment vertical="center"/>
    </xf>
    <xf numFmtId="167" fontId="17" fillId="3" borderId="0" xfId="1" applyNumberFormat="1" applyFont="1" applyFill="1" applyAlignment="1">
      <alignment vertical="center"/>
    </xf>
    <xf numFmtId="44" fontId="19" fillId="7" borderId="3" xfId="5" applyFont="1" applyFill="1" applyBorder="1" applyAlignment="1" applyProtection="1">
      <alignment vertical="center"/>
      <protection locked="0"/>
    </xf>
    <xf numFmtId="167" fontId="20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167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Alignment="1">
      <alignment vertical="center" wrapText="1"/>
    </xf>
    <xf numFmtId="167" fontId="20" fillId="2" borderId="0" xfId="0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2" fillId="3" borderId="0" xfId="1" applyFont="1" applyFill="1" applyAlignment="1" applyProtection="1">
      <alignment vertical="center"/>
      <protection locked="0"/>
    </xf>
    <xf numFmtId="167" fontId="23" fillId="4" borderId="3" xfId="2" applyNumberFormat="1" applyFont="1" applyFill="1" applyBorder="1" applyAlignment="1" applyProtection="1">
      <alignment vertical="center"/>
      <protection locked="0"/>
    </xf>
    <xf numFmtId="167" fontId="24" fillId="6" borderId="3" xfId="1" applyNumberFormat="1" applyFont="1" applyFill="1" applyBorder="1" applyAlignment="1" applyProtection="1">
      <alignment vertical="center"/>
      <protection locked="0"/>
    </xf>
    <xf numFmtId="167" fontId="25" fillId="8" borderId="3" xfId="3" applyNumberFormat="1" applyFont="1" applyFill="1" applyBorder="1" applyAlignment="1" applyProtection="1">
      <alignment vertical="center"/>
      <protection locked="0"/>
    </xf>
    <xf numFmtId="167" fontId="19" fillId="9" borderId="3" xfId="3" applyNumberFormat="1" applyFont="1" applyFill="1" applyBorder="1" applyAlignment="1" applyProtection="1">
      <alignment vertical="center"/>
      <protection locked="0"/>
    </xf>
    <xf numFmtId="167" fontId="24" fillId="6" borderId="3" xfId="5" applyNumberFormat="1" applyFont="1" applyFill="1" applyBorder="1" applyAlignment="1" applyProtection="1">
      <alignment vertical="center"/>
      <protection locked="0"/>
    </xf>
    <xf numFmtId="169" fontId="23" fillId="4" borderId="3" xfId="2" applyNumberFormat="1" applyFont="1" applyFill="1" applyBorder="1" applyAlignment="1" applyProtection="1">
      <alignment vertical="center"/>
      <protection locked="0"/>
    </xf>
    <xf numFmtId="169" fontId="23" fillId="4" borderId="3" xfId="5" applyNumberFormat="1" applyFont="1" applyFill="1" applyBorder="1" applyAlignment="1" applyProtection="1">
      <alignment vertical="center"/>
      <protection locked="0"/>
    </xf>
    <xf numFmtId="169" fontId="19" fillId="3" borderId="0" xfId="1" applyNumberFormat="1" applyFont="1" applyFill="1" applyAlignment="1">
      <alignment vertical="center"/>
    </xf>
    <xf numFmtId="0" fontId="17" fillId="3" borderId="0" xfId="1" applyFont="1" applyFill="1" applyAlignment="1" applyProtection="1">
      <alignment vertical="center"/>
      <protection locked="0"/>
    </xf>
    <xf numFmtId="0" fontId="23" fillId="6" borderId="4" xfId="1" applyFont="1" applyFill="1" applyBorder="1" applyAlignment="1" applyProtection="1">
      <alignment vertical="center"/>
      <protection locked="0"/>
    </xf>
    <xf numFmtId="0" fontId="23" fillId="6" borderId="3" xfId="1" applyFont="1" applyFill="1" applyBorder="1" applyAlignment="1" applyProtection="1">
      <alignment vertical="center" wrapText="1"/>
      <protection locked="0"/>
    </xf>
    <xf numFmtId="0" fontId="23" fillId="6" borderId="3" xfId="1" applyFont="1" applyFill="1" applyBorder="1" applyAlignment="1" applyProtection="1">
      <alignment vertical="center"/>
      <protection locked="0"/>
    </xf>
    <xf numFmtId="9" fontId="23" fillId="6" borderId="3" xfId="4" applyFont="1" applyFill="1" applyBorder="1" applyAlignment="1" applyProtection="1">
      <alignment vertical="center"/>
      <protection locked="0"/>
    </xf>
    <xf numFmtId="164" fontId="23" fillId="6" borderId="3" xfId="2" applyNumberFormat="1" applyFont="1" applyFill="1" applyBorder="1" applyAlignment="1" applyProtection="1">
      <alignment vertical="center"/>
      <protection locked="0"/>
    </xf>
    <xf numFmtId="167" fontId="23" fillId="6" borderId="3" xfId="2" applyNumberFormat="1" applyFont="1" applyFill="1" applyBorder="1" applyAlignment="1">
      <alignment vertical="center"/>
    </xf>
    <xf numFmtId="167" fontId="23" fillId="6" borderId="3" xfId="2" applyNumberFormat="1" applyFont="1" applyFill="1" applyBorder="1" applyAlignment="1" applyProtection="1">
      <alignment vertical="center"/>
      <protection locked="0"/>
    </xf>
    <xf numFmtId="0" fontId="26" fillId="3" borderId="0" xfId="1" applyFont="1" applyFill="1" applyAlignment="1" applyProtection="1">
      <alignment vertical="center"/>
      <protection locked="0"/>
    </xf>
    <xf numFmtId="44" fontId="19" fillId="7" borderId="3" xfId="5" applyFont="1" applyFill="1" applyBorder="1" applyAlignment="1">
      <alignment vertical="center"/>
    </xf>
    <xf numFmtId="0" fontId="1" fillId="3" borderId="0" xfId="9" applyFont="1" applyFill="1" applyAlignment="1" applyProtection="1">
      <alignment vertical="center"/>
      <protection locked="0"/>
    </xf>
    <xf numFmtId="0" fontId="1" fillId="3" borderId="0" xfId="9" applyFont="1" applyFill="1" applyAlignment="1" applyProtection="1">
      <alignment vertical="center" wrapText="1"/>
      <protection locked="0"/>
    </xf>
    <xf numFmtId="0" fontId="15" fillId="3" borderId="0" xfId="9" applyFont="1" applyFill="1" applyAlignment="1" applyProtection="1">
      <alignment vertical="center"/>
      <protection locked="0"/>
    </xf>
    <xf numFmtId="167" fontId="15" fillId="3" borderId="0" xfId="9" applyNumberFormat="1" applyFont="1" applyFill="1" applyAlignment="1" applyProtection="1">
      <alignment vertical="center"/>
      <protection locked="0"/>
    </xf>
    <xf numFmtId="0" fontId="15" fillId="3" borderId="0" xfId="9" applyFont="1" applyFill="1" applyAlignment="1">
      <alignment vertical="center"/>
    </xf>
    <xf numFmtId="0" fontId="2" fillId="3" borderId="0" xfId="9" applyFont="1" applyFill="1" applyAlignment="1" applyProtection="1">
      <alignment horizontal="center" vertical="center" wrapText="1"/>
      <protection locked="0"/>
    </xf>
    <xf numFmtId="0" fontId="2" fillId="3" borderId="0" xfId="9" applyFont="1" applyFill="1" applyAlignment="1">
      <alignment horizontal="center" vertical="center" wrapText="1"/>
    </xf>
    <xf numFmtId="0" fontId="2" fillId="3" borderId="0" xfId="9" applyFont="1" applyFill="1" applyAlignment="1" applyProtection="1">
      <alignment vertical="center"/>
      <protection locked="0"/>
    </xf>
    <xf numFmtId="0" fontId="6" fillId="4" borderId="4" xfId="9" applyFont="1" applyFill="1" applyBorder="1" applyAlignment="1" applyProtection="1">
      <alignment vertical="center"/>
      <protection locked="0"/>
    </xf>
    <xf numFmtId="0" fontId="6" fillId="4" borderId="3" xfId="9" applyFont="1" applyFill="1" applyBorder="1" applyAlignment="1" applyProtection="1">
      <alignment vertical="center"/>
      <protection locked="0"/>
    </xf>
    <xf numFmtId="0" fontId="16" fillId="6" borderId="4" xfId="9" applyFont="1" applyFill="1" applyBorder="1" applyAlignment="1" applyProtection="1">
      <alignment vertical="center"/>
      <protection locked="0"/>
    </xf>
    <xf numFmtId="0" fontId="16" fillId="6" borderId="3" xfId="9" applyFont="1" applyFill="1" applyBorder="1" applyAlignment="1" applyProtection="1">
      <alignment vertical="center"/>
      <protection locked="0"/>
    </xf>
    <xf numFmtId="165" fontId="16" fillId="6" borderId="3" xfId="9" applyNumberFormat="1" applyFont="1" applyFill="1" applyBorder="1" applyAlignment="1" applyProtection="1">
      <alignment vertical="center"/>
      <protection locked="0"/>
    </xf>
    <xf numFmtId="167" fontId="16" fillId="6" borderId="3" xfId="9" applyNumberFormat="1" applyFont="1" applyFill="1" applyBorder="1" applyAlignment="1" applyProtection="1">
      <alignment vertical="center"/>
      <protection locked="0"/>
    </xf>
    <xf numFmtId="0" fontId="7" fillId="3" borderId="0" xfId="9" applyFont="1" applyFill="1" applyAlignment="1" applyProtection="1">
      <alignment vertical="center"/>
      <protection locked="0"/>
    </xf>
    <xf numFmtId="165" fontId="10" fillId="0" borderId="0" xfId="3" applyFont="1" applyFill="1" applyAlignment="1" applyProtection="1">
      <alignment vertical="center"/>
      <protection locked="0"/>
    </xf>
    <xf numFmtId="0" fontId="16" fillId="6" borderId="7" xfId="9" applyFont="1" applyFill="1" applyBorder="1" applyAlignment="1" applyProtection="1">
      <alignment vertical="center"/>
      <protection locked="0"/>
    </xf>
    <xf numFmtId="0" fontId="1" fillId="3" borderId="0" xfId="9" applyFont="1" applyFill="1" applyAlignment="1">
      <alignment vertical="center"/>
    </xf>
    <xf numFmtId="167" fontId="1" fillId="3" borderId="0" xfId="9" applyNumberFormat="1" applyFont="1" applyFill="1" applyAlignment="1">
      <alignment vertical="center"/>
    </xf>
    <xf numFmtId="168" fontId="1" fillId="3" borderId="0" xfId="9" applyNumberFormat="1" applyFont="1" applyFill="1" applyAlignment="1">
      <alignment vertical="center"/>
    </xf>
    <xf numFmtId="9" fontId="19" fillId="7" borderId="3" xfId="4" applyFont="1" applyFill="1" applyBorder="1" applyAlignment="1" applyProtection="1">
      <alignment vertical="center"/>
      <protection locked="0"/>
    </xf>
    <xf numFmtId="166" fontId="19" fillId="7" borderId="3" xfId="3" applyNumberFormat="1" applyFont="1" applyFill="1" applyBorder="1" applyAlignment="1" applyProtection="1">
      <alignment vertical="center"/>
      <protection locked="0"/>
    </xf>
    <xf numFmtId="166" fontId="17" fillId="3" borderId="0" xfId="1" applyNumberFormat="1" applyFont="1" applyFill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17" fillId="3" borderId="0" xfId="1" applyFont="1" applyFill="1" applyAlignment="1">
      <alignment vertical="center"/>
    </xf>
    <xf numFmtId="9" fontId="19" fillId="7" borderId="3" xfId="5" applyNumberFormat="1" applyFont="1" applyFill="1" applyBorder="1" applyAlignment="1" applyProtection="1">
      <alignment vertical="center"/>
      <protection locked="0"/>
    </xf>
    <xf numFmtId="175" fontId="19" fillId="7" borderId="3" xfId="3" applyNumberFormat="1" applyFont="1" applyFill="1" applyBorder="1" applyAlignment="1" applyProtection="1">
      <alignment vertical="center"/>
      <protection locked="0"/>
    </xf>
    <xf numFmtId="165" fontId="25" fillId="10" borderId="3" xfId="3" applyFont="1" applyFill="1" applyBorder="1" applyAlignment="1" applyProtection="1">
      <alignment vertical="center"/>
      <protection locked="0"/>
    </xf>
    <xf numFmtId="0" fontId="17" fillId="10" borderId="6" xfId="9" applyFont="1" applyFill="1" applyBorder="1" applyAlignment="1">
      <alignment vertical="center"/>
    </xf>
    <xf numFmtId="167" fontId="17" fillId="10" borderId="6" xfId="9" applyNumberFormat="1" applyFont="1" applyFill="1" applyBorder="1" applyAlignment="1">
      <alignment vertical="center"/>
    </xf>
    <xf numFmtId="0" fontId="1" fillId="10" borderId="11" xfId="9" applyFont="1" applyFill="1" applyBorder="1" applyAlignment="1">
      <alignment vertical="center" wrapText="1"/>
    </xf>
    <xf numFmtId="0" fontId="2" fillId="10" borderId="6" xfId="9" applyFont="1" applyFill="1" applyBorder="1" applyAlignment="1">
      <alignment vertical="center"/>
    </xf>
    <xf numFmtId="167" fontId="2" fillId="10" borderId="6" xfId="9" applyNumberFormat="1" applyFont="1" applyFill="1" applyBorder="1" applyAlignment="1">
      <alignment vertical="center"/>
    </xf>
    <xf numFmtId="174" fontId="2" fillId="10" borderId="6" xfId="9" applyNumberFormat="1" applyFont="1" applyFill="1" applyBorder="1" applyAlignment="1">
      <alignment vertical="center"/>
    </xf>
    <xf numFmtId="0" fontId="24" fillId="6" borderId="8" xfId="1" applyFont="1" applyFill="1" applyBorder="1" applyAlignment="1" applyProtection="1">
      <alignment vertical="center"/>
      <protection locked="0"/>
    </xf>
    <xf numFmtId="0" fontId="24" fillId="6" borderId="9" xfId="1" applyFont="1" applyFill="1" applyBorder="1" applyAlignment="1" applyProtection="1">
      <alignment vertical="center"/>
      <protection locked="0"/>
    </xf>
    <xf numFmtId="0" fontId="24" fillId="6" borderId="10" xfId="1" applyFont="1" applyFill="1" applyBorder="1" applyAlignment="1" applyProtection="1">
      <alignment vertical="center"/>
      <protection locked="0"/>
    </xf>
    <xf numFmtId="175" fontId="1" fillId="7" borderId="3" xfId="3" applyNumberFormat="1" applyFont="1" applyFill="1" applyBorder="1" applyAlignment="1" applyProtection="1">
      <alignment vertical="center"/>
    </xf>
    <xf numFmtId="165" fontId="29" fillId="7" borderId="3" xfId="3" applyFont="1" applyFill="1" applyBorder="1" applyAlignment="1" applyProtection="1">
      <alignment vertical="center"/>
      <protection locked="0"/>
    </xf>
    <xf numFmtId="167" fontId="1" fillId="7" borderId="3" xfId="5" applyNumberFormat="1" applyFont="1" applyFill="1" applyBorder="1" applyAlignment="1" applyProtection="1">
      <alignment vertical="center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171" fontId="7" fillId="3" borderId="0" xfId="1" applyNumberFormat="1" applyFont="1" applyFill="1" applyAlignment="1" applyProtection="1">
      <alignment vertical="center"/>
      <protection locked="0"/>
    </xf>
    <xf numFmtId="0" fontId="9" fillId="8" borderId="10" xfId="3" applyNumberFormat="1" applyFont="1" applyFill="1" applyBorder="1" applyAlignment="1" applyProtection="1">
      <alignment horizontal="left" vertical="center" wrapText="1"/>
      <protection locked="0"/>
    </xf>
    <xf numFmtId="173" fontId="19" fillId="7" borderId="3" xfId="3" applyNumberFormat="1" applyFont="1" applyFill="1" applyBorder="1" applyAlignment="1" applyProtection="1">
      <alignment vertical="center"/>
      <protection locked="0"/>
    </xf>
    <xf numFmtId="165" fontId="30" fillId="3" borderId="0" xfId="3" applyFont="1" applyFill="1" applyAlignment="1" applyProtection="1">
      <alignment vertical="center"/>
      <protection locked="0"/>
    </xf>
    <xf numFmtId="167" fontId="25" fillId="8" borderId="3" xfId="5" applyNumberFormat="1" applyFont="1" applyFill="1" applyBorder="1" applyAlignment="1" applyProtection="1">
      <alignment vertical="center"/>
      <protection locked="0"/>
    </xf>
    <xf numFmtId="171" fontId="23" fillId="4" borderId="3" xfId="2" applyNumberFormat="1" applyFont="1" applyFill="1" applyBorder="1" applyAlignment="1" applyProtection="1">
      <alignment vertical="center"/>
      <protection locked="0"/>
    </xf>
    <xf numFmtId="167" fontId="25" fillId="8" borderId="3" xfId="3" applyNumberFormat="1" applyFont="1" applyFill="1" applyBorder="1" applyAlignment="1">
      <alignment vertical="center"/>
    </xf>
    <xf numFmtId="167" fontId="30" fillId="8" borderId="3" xfId="3" applyNumberFormat="1" applyFont="1" applyFill="1" applyBorder="1" applyAlignment="1">
      <alignment vertical="center"/>
    </xf>
    <xf numFmtId="167" fontId="24" fillId="6" borderId="3" xfId="1" applyNumberFormat="1" applyFont="1" applyFill="1" applyBorder="1" applyAlignment="1">
      <alignment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3" borderId="1" xfId="9" applyFont="1" applyFill="1" applyBorder="1" applyAlignment="1">
      <alignment horizontal="center" vertical="center" wrapText="1"/>
    </xf>
    <xf numFmtId="0" fontId="5" fillId="3" borderId="4" xfId="9" applyFont="1" applyFill="1" applyBorder="1" applyAlignment="1">
      <alignment horizontal="center" vertical="center" wrapText="1"/>
    </xf>
    <xf numFmtId="2" fontId="19" fillId="7" borderId="3" xfId="3" applyNumberFormat="1" applyFont="1" applyFill="1" applyBorder="1" applyAlignment="1" applyProtection="1">
      <alignment vertical="center"/>
      <protection locked="0"/>
    </xf>
    <xf numFmtId="176" fontId="1" fillId="7" borderId="3" xfId="3" applyNumberFormat="1" applyFont="1" applyFill="1" applyBorder="1" applyAlignment="1" applyProtection="1">
      <alignment vertical="center"/>
      <protection locked="0"/>
    </xf>
    <xf numFmtId="0" fontId="31" fillId="5" borderId="0" xfId="0" applyFont="1" applyFill="1"/>
    <xf numFmtId="0" fontId="31" fillId="5" borderId="0" xfId="0" applyFont="1" applyFill="1" applyAlignment="1">
      <alignment wrapText="1"/>
    </xf>
    <xf numFmtId="0" fontId="31" fillId="5" borderId="1" xfId="0" applyFont="1" applyFill="1" applyBorder="1"/>
    <xf numFmtId="0" fontId="31" fillId="5" borderId="4" xfId="0" applyFont="1" applyFill="1" applyBorder="1"/>
    <xf numFmtId="0" fontId="31" fillId="5" borderId="17" xfId="0" applyFont="1" applyFill="1" applyBorder="1"/>
    <xf numFmtId="0" fontId="31" fillId="5" borderId="14" xfId="0" applyFont="1" applyFill="1" applyBorder="1" applyAlignment="1">
      <alignment wrapText="1"/>
    </xf>
    <xf numFmtId="169" fontId="31" fillId="5" borderId="2" xfId="0" applyNumberFormat="1" applyFont="1" applyFill="1" applyBorder="1"/>
    <xf numFmtId="169" fontId="31" fillId="5" borderId="15" xfId="0" applyNumberFormat="1" applyFont="1" applyFill="1" applyBorder="1"/>
    <xf numFmtId="169" fontId="31" fillId="5" borderId="3" xfId="0" applyNumberFormat="1" applyFont="1" applyFill="1" applyBorder="1"/>
    <xf numFmtId="169" fontId="31" fillId="5" borderId="16" xfId="0" applyNumberFormat="1" applyFont="1" applyFill="1" applyBorder="1"/>
    <xf numFmtId="169" fontId="31" fillId="5" borderId="18" xfId="0" applyNumberFormat="1" applyFont="1" applyFill="1" applyBorder="1"/>
    <xf numFmtId="169" fontId="31" fillId="5" borderId="19" xfId="0" applyNumberFormat="1" applyFont="1" applyFill="1" applyBorder="1"/>
    <xf numFmtId="169" fontId="31" fillId="5" borderId="20" xfId="0" applyNumberFormat="1" applyFont="1" applyFill="1" applyBorder="1"/>
    <xf numFmtId="0" fontId="34" fillId="3" borderId="0" xfId="1" applyFont="1" applyFill="1" applyAlignment="1" applyProtection="1">
      <alignment vertical="center" wrapText="1"/>
      <protection locked="0"/>
    </xf>
    <xf numFmtId="49" fontId="35" fillId="2" borderId="0" xfId="0" applyNumberFormat="1" applyFont="1" applyFill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6" fillId="3" borderId="0" xfId="1" applyFont="1" applyFill="1" applyAlignment="1" applyProtection="1">
      <alignment vertical="center" wrapText="1"/>
      <protection locked="0"/>
    </xf>
    <xf numFmtId="0" fontId="35" fillId="3" borderId="1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0" fontId="37" fillId="4" borderId="4" xfId="1" applyFont="1" applyFill="1" applyBorder="1" applyAlignment="1" applyProtection="1">
      <alignment vertical="center" wrapText="1"/>
      <protection locked="0"/>
    </xf>
    <xf numFmtId="0" fontId="37" fillId="6" borderId="4" xfId="1" applyFont="1" applyFill="1" applyBorder="1" applyAlignment="1" applyProtection="1">
      <alignment vertical="center" wrapText="1"/>
      <protection locked="0"/>
    </xf>
    <xf numFmtId="165" fontId="34" fillId="3" borderId="4" xfId="3" applyFont="1" applyFill="1" applyBorder="1" applyAlignment="1" applyProtection="1">
      <alignment vertical="center" wrapText="1"/>
      <protection locked="0"/>
    </xf>
    <xf numFmtId="165" fontId="38" fillId="8" borderId="3" xfId="3" applyFont="1" applyFill="1" applyBorder="1" applyAlignment="1" applyProtection="1">
      <alignment vertical="center" wrapText="1"/>
      <protection locked="0"/>
    </xf>
    <xf numFmtId="165" fontId="34" fillId="9" borderId="3" xfId="3" applyFont="1" applyFill="1" applyBorder="1" applyAlignment="1" applyProtection="1">
      <alignment horizontal="left" vertical="center" wrapText="1"/>
      <protection locked="0"/>
    </xf>
    <xf numFmtId="166" fontId="35" fillId="3" borderId="0" xfId="1" applyNumberFormat="1" applyFont="1" applyFill="1" applyAlignment="1">
      <alignment vertical="center" wrapText="1"/>
    </xf>
    <xf numFmtId="0" fontId="34" fillId="3" borderId="0" xfId="1" applyFont="1" applyFill="1" applyAlignment="1">
      <alignment vertical="center" wrapText="1"/>
    </xf>
    <xf numFmtId="9" fontId="31" fillId="5" borderId="20" xfId="4" applyFont="1" applyFill="1" applyBorder="1"/>
    <xf numFmtId="169" fontId="31" fillId="5" borderId="0" xfId="0" applyNumberFormat="1" applyFont="1" applyFill="1"/>
    <xf numFmtId="9" fontId="31" fillId="5" borderId="0" xfId="4" applyFont="1" applyFill="1"/>
    <xf numFmtId="0" fontId="33" fillId="11" borderId="6" xfId="1" applyFont="1" applyFill="1" applyBorder="1" applyAlignment="1" applyProtection="1">
      <alignment vertical="center"/>
      <protection locked="0"/>
    </xf>
    <xf numFmtId="0" fontId="33" fillId="11" borderId="6" xfId="1" applyFont="1" applyFill="1" applyBorder="1" applyAlignment="1" applyProtection="1">
      <alignment vertical="center" wrapText="1"/>
      <protection locked="0"/>
    </xf>
    <xf numFmtId="0" fontId="31" fillId="5" borderId="3" xfId="0" applyFont="1" applyFill="1" applyBorder="1" applyAlignment="1">
      <alignment wrapText="1"/>
    </xf>
    <xf numFmtId="0" fontId="31" fillId="5" borderId="18" xfId="0" applyFont="1" applyFill="1" applyBorder="1" applyAlignment="1">
      <alignment wrapText="1"/>
    </xf>
    <xf numFmtId="0" fontId="39" fillId="4" borderId="21" xfId="1" applyFont="1" applyFill="1" applyBorder="1" applyAlignment="1" applyProtection="1">
      <alignment horizontal="center" vertical="center" wrapText="1"/>
      <protection locked="0"/>
    </xf>
    <xf numFmtId="0" fontId="39" fillId="4" borderId="0" xfId="1" applyFont="1" applyFill="1" applyAlignment="1" applyProtection="1">
      <alignment horizontal="center" vertical="center" wrapText="1"/>
      <protection locked="0"/>
    </xf>
    <xf numFmtId="0" fontId="9" fillId="8" borderId="8" xfId="3" applyNumberFormat="1" applyFont="1" applyFill="1" applyBorder="1" applyAlignment="1" applyProtection="1">
      <alignment horizontal="left" vertical="center" wrapText="1"/>
      <protection locked="0"/>
    </xf>
    <xf numFmtId="0" fontId="9" fillId="8" borderId="9" xfId="3" applyNumberFormat="1" applyFont="1" applyFill="1" applyBorder="1" applyAlignment="1" applyProtection="1">
      <alignment horizontal="left" vertical="center" wrapText="1"/>
      <protection locked="0"/>
    </xf>
    <xf numFmtId="0" fontId="9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4" fillId="6" borderId="8" xfId="1" applyFont="1" applyFill="1" applyBorder="1" applyAlignment="1" applyProtection="1">
      <alignment horizontal="left" vertical="center" wrapText="1"/>
      <protection locked="0"/>
    </xf>
    <xf numFmtId="0" fontId="24" fillId="6" borderId="9" xfId="1" applyFont="1" applyFill="1" applyBorder="1" applyAlignment="1" applyProtection="1">
      <alignment horizontal="left" vertical="center" wrapText="1"/>
      <protection locked="0"/>
    </xf>
    <xf numFmtId="0" fontId="24" fillId="6" borderId="10" xfId="1" applyFont="1" applyFill="1" applyBorder="1" applyAlignment="1" applyProtection="1">
      <alignment horizontal="left" vertical="center" wrapText="1"/>
      <protection locked="0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168" fontId="17" fillId="3" borderId="3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167" fontId="17" fillId="3" borderId="3" xfId="1" applyNumberFormat="1" applyFont="1" applyFill="1" applyBorder="1" applyAlignment="1">
      <alignment horizontal="center" vertical="center" wrapText="1"/>
    </xf>
    <xf numFmtId="9" fontId="2" fillId="3" borderId="2" xfId="6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/>
    </xf>
    <xf numFmtId="0" fontId="16" fillId="6" borderId="8" xfId="1" applyFont="1" applyFill="1" applyBorder="1" applyAlignment="1" applyProtection="1">
      <alignment horizontal="left" vertical="center" wrapText="1"/>
      <protection locked="0"/>
    </xf>
    <xf numFmtId="0" fontId="16" fillId="6" borderId="9" xfId="1" applyFont="1" applyFill="1" applyBorder="1" applyAlignment="1" applyProtection="1">
      <alignment horizontal="left" vertical="center" wrapText="1"/>
      <protection locked="0"/>
    </xf>
    <xf numFmtId="0" fontId="16" fillId="6" borderId="10" xfId="1" applyFont="1" applyFill="1" applyBorder="1" applyAlignment="1" applyProtection="1">
      <alignment horizontal="left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/>
      <protection locked="0"/>
    </xf>
    <xf numFmtId="0" fontId="2" fillId="3" borderId="7" xfId="1" applyFont="1" applyFill="1" applyBorder="1" applyAlignment="1" applyProtection="1">
      <alignment horizontal="center" vertical="center"/>
      <protection locked="0"/>
    </xf>
    <xf numFmtId="9" fontId="2" fillId="3" borderId="2" xfId="4" applyFont="1" applyFill="1" applyBorder="1" applyAlignment="1" applyProtection="1">
      <alignment horizontal="center" vertical="center" wrapText="1"/>
      <protection locked="0"/>
    </xf>
    <xf numFmtId="9" fontId="2" fillId="3" borderId="3" xfId="4" applyFont="1" applyFill="1" applyBorder="1" applyAlignment="1" applyProtection="1">
      <alignment horizontal="center" vertical="center" wrapText="1"/>
      <protection locked="0"/>
    </xf>
    <xf numFmtId="168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167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9" applyFont="1" applyFill="1" applyBorder="1" applyAlignment="1">
      <alignment horizontal="center" vertical="center" wrapText="1"/>
    </xf>
    <xf numFmtId="0" fontId="5" fillId="3" borderId="4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7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/>
    </xf>
    <xf numFmtId="0" fontId="2" fillId="3" borderId="7" xfId="9" applyFont="1" applyFill="1" applyBorder="1" applyAlignment="1">
      <alignment horizontal="center" vertical="center"/>
    </xf>
    <xf numFmtId="9" fontId="2" fillId="3" borderId="2" xfId="4" applyFont="1" applyFill="1" applyBorder="1" applyAlignment="1">
      <alignment horizontal="center" vertical="center" wrapText="1"/>
    </xf>
    <xf numFmtId="9" fontId="2" fillId="3" borderId="3" xfId="4" applyFont="1" applyFill="1" applyBorder="1" applyAlignment="1">
      <alignment horizontal="center" vertical="center" wrapText="1"/>
    </xf>
    <xf numFmtId="0" fontId="1" fillId="10" borderId="11" xfId="9" applyFont="1" applyFill="1" applyBorder="1" applyAlignment="1">
      <alignment horizontal="left" vertical="center" wrapText="1"/>
    </xf>
    <xf numFmtId="0" fontId="1" fillId="10" borderId="12" xfId="9" applyFont="1" applyFill="1" applyBorder="1" applyAlignment="1">
      <alignment horizontal="left" vertical="center" wrapText="1"/>
    </xf>
    <xf numFmtId="168" fontId="2" fillId="3" borderId="3" xfId="9" applyNumberFormat="1" applyFont="1" applyFill="1" applyBorder="1" applyAlignment="1">
      <alignment horizontal="center" vertical="center" wrapText="1"/>
    </xf>
    <xf numFmtId="0" fontId="19" fillId="10" borderId="11" xfId="9" applyFont="1" applyFill="1" applyBorder="1" applyAlignment="1">
      <alignment horizontal="left" vertical="center" wrapText="1"/>
    </xf>
    <xf numFmtId="0" fontId="19" fillId="10" borderId="12" xfId="9" applyFont="1" applyFill="1" applyBorder="1" applyAlignment="1">
      <alignment horizontal="left" vertical="center" wrapText="1"/>
    </xf>
    <xf numFmtId="167" fontId="2" fillId="3" borderId="3" xfId="9" applyNumberFormat="1" applyFont="1" applyFill="1" applyBorder="1" applyAlignment="1">
      <alignment horizontal="center" vertical="center" wrapText="1"/>
    </xf>
    <xf numFmtId="168" fontId="2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171" fontId="2" fillId="3" borderId="3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167" fontId="2" fillId="3" borderId="2" xfId="1" applyNumberFormat="1" applyFont="1" applyFill="1" applyBorder="1" applyAlignment="1">
      <alignment horizontal="center" vertical="center" wrapText="1"/>
    </xf>
    <xf numFmtId="167" fontId="2" fillId="3" borderId="3" xfId="1" applyNumberFormat="1" applyFont="1" applyFill="1" applyBorder="1" applyAlignment="1">
      <alignment horizontal="center" vertical="center" wrapText="1"/>
    </xf>
  </cellXfs>
  <cellStyles count="10">
    <cellStyle name="Comma 3" xfId="3" xr:uid="{371771E6-15EE-4EF5-98F0-7005423F0E01}"/>
    <cellStyle name="Comma 3 2 3" xfId="8" xr:uid="{3B560A81-B63C-4FEC-97CA-75EFFD1BDA67}"/>
    <cellStyle name="Comma 3 4" xfId="7" xr:uid="{78D84B83-E13F-4F1E-AF86-75257D39EC8B}"/>
    <cellStyle name="Normal 2" xfId="1" xr:uid="{AFAEE939-0CD3-4733-BB34-39DE569CD206}"/>
    <cellStyle name="Normal 2 2 2" xfId="9" xr:uid="{BF049126-A870-46F7-B4FE-48F19CC46D59}"/>
    <cellStyle name="Normal 2 3" xfId="2" xr:uid="{69FD9AB1-F1AC-4091-BD55-AC827A109446}"/>
    <cellStyle name="Percent 3" xfId="6" xr:uid="{0BE16FE2-D307-4BF4-97E0-1674429F999B}"/>
    <cellStyle name="Procent" xfId="4" builtinId="5"/>
    <cellStyle name="Standaard" xfId="0" builtinId="0"/>
    <cellStyle name="Valuta" xfId="5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3</xdr:row>
      <xdr:rowOff>38100</xdr:rowOff>
    </xdr:from>
    <xdr:to>
      <xdr:col>4</xdr:col>
      <xdr:colOff>2133679</xdr:colOff>
      <xdr:row>10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3B119E2-A192-4B42-951B-DBD052A4CFE0}"/>
            </a:ext>
            <a:ext uri="{147F2762-F138-4A5C-976F-8EAC2B608ADB}">
              <a16:predDERef xmlns:a16="http://schemas.microsoft.com/office/drawing/2014/main" pred="{05F2B0DE-9FD2-4082-96B1-CEE4F8E8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523875"/>
          <a:ext cx="2200354" cy="11525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8</xdr:col>
      <xdr:colOff>512445</xdr:colOff>
      <xdr:row>11</xdr:row>
      <xdr:rowOff>952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375A2DA1-B5AF-4AC4-83FF-60DC65330F61}"/>
            </a:ext>
            <a:ext uri="{147F2762-F138-4A5C-976F-8EAC2B608ADB}">
              <a16:predDERef xmlns:a16="http://schemas.microsoft.com/office/drawing/2014/main" pred="{13B119E2-A192-4B42-951B-DBD052A4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666750"/>
          <a:ext cx="3448050" cy="1108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2228929</xdr:colOff>
      <xdr:row>9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377016-C41D-4BC3-8754-A76E73381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4" y="342900"/>
          <a:ext cx="2232739" cy="1238250"/>
        </a:xfrm>
        <a:prstGeom prst="rect">
          <a:avLst/>
        </a:prstGeom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453390</xdr:colOff>
      <xdr:row>8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3A55AA-88CD-4E86-AD9F-FFA8E346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335280"/>
          <a:ext cx="3448050" cy="116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457200</xdr:colOff>
      <xdr:row>8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F2B0DE-9FD2-4082-96B1-CEE4F8E8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335280"/>
          <a:ext cx="3451860" cy="116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2228929</xdr:colOff>
      <xdr:row>9</xdr:row>
      <xdr:rowOff>15240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D36F893-5746-4BF7-B52E-5960CF52C2DF}"/>
            </a:ext>
            <a:ext uri="{147F2762-F138-4A5C-976F-8EAC2B608ADB}">
              <a16:predDERef xmlns:a16="http://schemas.microsoft.com/office/drawing/2014/main" pred="{05F2B0DE-9FD2-4082-96B1-CEE4F8E89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23850"/>
          <a:ext cx="2228929" cy="1186815"/>
        </a:xfrm>
        <a:prstGeom prst="rect">
          <a:avLst/>
        </a:prstGeom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453390</xdr:colOff>
      <xdr:row>8</xdr:row>
      <xdr:rowOff>129540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3EA2AED7-54B3-428A-AAA0-4C5C0F1AFD9D}"/>
            </a:ext>
            <a:ext uri="{147F2762-F138-4A5C-976F-8EAC2B608ADB}">
              <a16:predDERef xmlns:a16="http://schemas.microsoft.com/office/drawing/2014/main" pred="{8D36F893-5746-4BF7-B52E-5960CF52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457200</xdr:colOff>
      <xdr:row>8</xdr:row>
      <xdr:rowOff>133350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E8CB52FB-5073-472D-BA0E-653ACCE5EE88}"/>
            </a:ext>
            <a:ext uri="{147F2762-F138-4A5C-976F-8EAC2B608ADB}">
              <a16:predDERef xmlns:a16="http://schemas.microsoft.com/office/drawing/2014/main" pred="{3EA2AED7-54B3-428A-AAA0-4C5C0F1AF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453390</xdr:colOff>
      <xdr:row>8</xdr:row>
      <xdr:rowOff>129540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0CBFFE74-BDEB-4564-A9D7-61577A2EED51}"/>
            </a:ext>
            <a:ext uri="{147F2762-F138-4A5C-976F-8EAC2B608ADB}">
              <a16:predDERef xmlns:a16="http://schemas.microsoft.com/office/drawing/2014/main" pred="{E8CB52FB-5073-472D-BA0E-653ACCE5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457200</xdr:colOff>
      <xdr:row>8</xdr:row>
      <xdr:rowOff>133350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B74F25CA-223C-4211-9E0E-5C2D0DC788A8}"/>
            </a:ext>
            <a:ext uri="{147F2762-F138-4A5C-976F-8EAC2B608ADB}">
              <a16:predDERef xmlns:a16="http://schemas.microsoft.com/office/drawing/2014/main" pred="{0CBFFE74-BDEB-4564-A9D7-61577A2E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453390</xdr:colOff>
      <xdr:row>8</xdr:row>
      <xdr:rowOff>129540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F6C78808-6A3F-44B0-B6E7-443507F6AD28}"/>
            </a:ext>
            <a:ext uri="{147F2762-F138-4A5C-976F-8EAC2B608ADB}">
              <a16:predDERef xmlns:a16="http://schemas.microsoft.com/office/drawing/2014/main" pred="{B74F25CA-223C-4211-9E0E-5C2D0DC7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5</xdr:col>
      <xdr:colOff>457200</xdr:colOff>
      <xdr:row>8</xdr:row>
      <xdr:rowOff>133350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AC38935-0054-4D6F-A941-B3CC43B2465E}"/>
            </a:ext>
            <a:ext uri="{147F2762-F138-4A5C-976F-8EAC2B608ADB}">
              <a16:predDERef xmlns:a16="http://schemas.microsoft.com/office/drawing/2014/main" pred="{F6C78808-6A3F-44B0-B6E7-443507F6A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1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2</xdr:row>
      <xdr:rowOff>76200</xdr:rowOff>
    </xdr:from>
    <xdr:to>
      <xdr:col>4</xdr:col>
      <xdr:colOff>2836545</xdr:colOff>
      <xdr:row>8</xdr:row>
      <xdr:rowOff>91440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3E82351-9E10-48C0-B53E-84E296DE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00050"/>
          <a:ext cx="28289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3400425</xdr:colOff>
      <xdr:row>2</xdr:row>
      <xdr:rowOff>9525</xdr:rowOff>
    </xdr:from>
    <xdr:to>
      <xdr:col>5</xdr:col>
      <xdr:colOff>247650</xdr:colOff>
      <xdr:row>8</xdr:row>
      <xdr:rowOff>91440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21D964B-31A6-4392-BDB5-546CCAD2B690}"/>
            </a:ext>
            <a:ext uri="{147F2762-F138-4A5C-976F-8EAC2B608ADB}">
              <a16:predDERef xmlns:a16="http://schemas.microsoft.com/office/drawing/2014/main" pred="{F3E82351-9E10-48C0-B53E-84E296DE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333375"/>
          <a:ext cx="3448050" cy="110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2225119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444D5B-8CF8-41FE-9898-9BF8B2EB6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23850"/>
          <a:ext cx="2228929" cy="1186815"/>
        </a:xfrm>
        <a:prstGeom prst="rect">
          <a:avLst/>
        </a:prstGeom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133350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B5A6FD8F-222C-484D-A76D-FB35FB831C23}"/>
            </a:ext>
            <a:ext uri="{147F2762-F138-4A5C-976F-8EAC2B608ADB}">
              <a16:predDERef xmlns:a16="http://schemas.microsoft.com/office/drawing/2014/main" pred="{89444D5B-8CF8-41FE-9898-9BF8B2EB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129540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9EA5CDFE-CAB0-43DC-8646-03E0C04BCF94}"/>
            </a:ext>
            <a:ext uri="{147F2762-F138-4A5C-976F-8EAC2B608ADB}">
              <a16:predDERef xmlns:a16="http://schemas.microsoft.com/office/drawing/2014/main" pred="{B5A6FD8F-222C-484D-A76D-FB35FB83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2225119</xdr:colOff>
      <xdr:row>9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601AD1-9739-4931-A811-9420A4255B2B}"/>
            </a:ext>
            <a:ext uri="{147F2762-F138-4A5C-976F-8EAC2B608ADB}">
              <a16:predDERef xmlns:a16="http://schemas.microsoft.com/office/drawing/2014/main" pred="{9EA5CDFE-CAB0-43DC-8646-03E0C04BC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323850"/>
          <a:ext cx="2228929" cy="1186815"/>
        </a:xfrm>
        <a:prstGeom prst="rect">
          <a:avLst/>
        </a:prstGeom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133350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7D73EBF6-90FA-49CE-9034-D3AAF7E25FEE}"/>
            </a:ext>
            <a:ext uri="{147F2762-F138-4A5C-976F-8EAC2B608ADB}">
              <a16:predDERef xmlns:a16="http://schemas.microsoft.com/office/drawing/2014/main" pred="{A9601AD1-9739-4931-A811-9420A425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129540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953A79B-792D-42DE-AAD5-DB5035C68C62}"/>
            </a:ext>
            <a:ext uri="{147F2762-F138-4A5C-976F-8EAC2B608ADB}">
              <a16:predDERef xmlns:a16="http://schemas.microsoft.com/office/drawing/2014/main" pred="{7D73EBF6-90FA-49CE-9034-D3AAF7E2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133350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999A480B-5C5C-4528-BEF1-BE3FE6937F5B}"/>
            </a:ext>
            <a:ext uri="{147F2762-F138-4A5C-976F-8EAC2B608ADB}">
              <a16:predDERef xmlns:a16="http://schemas.microsoft.com/office/drawing/2014/main" pred="{0953A79B-792D-42DE-AAD5-DB5035C6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129540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C006976B-7C5C-4168-BEFA-BD09DF8F0A1E}"/>
            </a:ext>
            <a:ext uri="{147F2762-F138-4A5C-976F-8EAC2B608ADB}">
              <a16:predDERef xmlns:a16="http://schemas.microsoft.com/office/drawing/2014/main" pred="{999A480B-5C5C-4528-BEF1-BE3FE69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133350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11757E80-866F-4BBC-A871-D0856D0E0DE7}"/>
            </a:ext>
            <a:ext uri="{147F2762-F138-4A5C-976F-8EAC2B608ADB}">
              <a16:predDERef xmlns:a16="http://schemas.microsoft.com/office/drawing/2014/main" pred="{C006976B-7C5C-4168-BEFA-BD09DF8F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76600" cy="113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2967990</xdr:colOff>
      <xdr:row>1</xdr:row>
      <xdr:rowOff>161925</xdr:rowOff>
    </xdr:from>
    <xdr:to>
      <xdr:col>9</xdr:col>
      <xdr:colOff>935355</xdr:colOff>
      <xdr:row>8</xdr:row>
      <xdr:rowOff>129540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4351DC3C-5B7C-4CB4-9442-3929E5F19EF8}"/>
            </a:ext>
            <a:ext uri="{147F2762-F138-4A5C-976F-8EAC2B608ADB}">
              <a16:predDERef xmlns:a16="http://schemas.microsoft.com/office/drawing/2014/main" pred="{11757E80-866F-4BBC-A871-D0856D0E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565" y="323850"/>
          <a:ext cx="328041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1F8E8-5D90-47ED-9230-7547548DD22E}">
  <dimension ref="B2:H27"/>
  <sheetViews>
    <sheetView tabSelected="1" topLeftCell="A3" workbookViewId="0">
      <selection activeCell="C11" sqref="C11"/>
    </sheetView>
  </sheetViews>
  <sheetFormatPr defaultColWidth="8.88671875" defaultRowHeight="14.4"/>
  <cols>
    <col min="1" max="1" width="8.88671875" style="219"/>
    <col min="2" max="2" width="13.109375" style="219" customWidth="1"/>
    <col min="3" max="3" width="74.5546875" style="220" customWidth="1"/>
    <col min="4" max="5" width="15.5546875" style="219" customWidth="1"/>
    <col min="6" max="6" width="15.6640625" style="219" customWidth="1"/>
    <col min="7" max="7" width="15.109375" style="219" customWidth="1"/>
    <col min="8" max="8" width="15.44140625" style="219" customWidth="1"/>
    <col min="9" max="16384" width="8.88671875" style="219"/>
  </cols>
  <sheetData>
    <row r="2" spans="2:8" ht="57" customHeight="1">
      <c r="C2" s="252" t="s">
        <v>0</v>
      </c>
      <c r="D2" s="253"/>
      <c r="E2" s="253"/>
      <c r="F2" s="253"/>
      <c r="G2" s="253"/>
      <c r="H2" s="253"/>
    </row>
    <row r="6" spans="2:8" ht="27.6" customHeight="1">
      <c r="B6" s="248" t="s">
        <v>1</v>
      </c>
      <c r="C6" s="249" t="s">
        <v>2</v>
      </c>
      <c r="D6" s="248" t="s">
        <v>3</v>
      </c>
      <c r="E6" s="248" t="s">
        <v>4</v>
      </c>
      <c r="F6" s="248" t="s">
        <v>5</v>
      </c>
      <c r="G6" s="248" t="s">
        <v>6</v>
      </c>
      <c r="H6" s="248" t="s">
        <v>7</v>
      </c>
    </row>
    <row r="7" spans="2:8">
      <c r="B7" s="221" t="s">
        <v>8</v>
      </c>
      <c r="C7" s="250" t="s">
        <v>9</v>
      </c>
      <c r="D7" s="225">
        <f>SUM(E7:H7)</f>
        <v>0</v>
      </c>
      <c r="E7" s="225">
        <f>SUMIF(MLI!$B:$B, 'Services to Beneficiaries'!$B7, MLI!$L:$L)</f>
        <v>0</v>
      </c>
      <c r="F7" s="225">
        <f>SUMIF(NER!$B:$B, 'Services to Beneficiaries'!$B7, NER!$L:$L)</f>
        <v>0</v>
      </c>
      <c r="G7" s="225">
        <f>SUMIF(UGA!$B:$B, 'Services to Beneficiaries'!$B7, UGA!$L:$L)</f>
        <v>0</v>
      </c>
      <c r="H7" s="226">
        <f>SUMIF(RWA!$B:$B, 'Services to Beneficiaries'!$B7, RWA!$L:$L)</f>
        <v>0</v>
      </c>
    </row>
    <row r="8" spans="2:8">
      <c r="B8" s="222" t="s">
        <v>10</v>
      </c>
      <c r="C8" s="250" t="s">
        <v>11</v>
      </c>
      <c r="D8" s="227">
        <f t="shared" ref="D8:D17" si="0">SUM(E8:H8)</f>
        <v>0</v>
      </c>
      <c r="E8" s="227">
        <f>SUMIF(MLI!$B:$B, 'Services to Beneficiaries'!$B8, MLI!$L:$L)</f>
        <v>0</v>
      </c>
      <c r="F8" s="227">
        <f>SUMIF(NER!$B:$B, 'Services to Beneficiaries'!$B8, NER!$L:$L)</f>
        <v>0</v>
      </c>
      <c r="G8" s="227">
        <f>SUMIF(UGA!$B:$B, 'Services to Beneficiaries'!$B8, UGA!$L:$L)</f>
        <v>0</v>
      </c>
      <c r="H8" s="228">
        <f>SUMIF(RWA!$B:$B, 'Services to Beneficiaries'!$B8, RWA!$L:$L)</f>
        <v>0</v>
      </c>
    </row>
    <row r="9" spans="2:8">
      <c r="B9" s="222" t="s">
        <v>12</v>
      </c>
      <c r="C9" s="250" t="s">
        <v>13</v>
      </c>
      <c r="D9" s="227">
        <f t="shared" si="0"/>
        <v>0</v>
      </c>
      <c r="E9" s="227">
        <f>SUMIF(MLI!$B:$B, 'Services to Beneficiaries'!$B9, MLI!$L:$L)</f>
        <v>0</v>
      </c>
      <c r="F9" s="227">
        <f>SUMIF(NER!$B:$B, 'Services to Beneficiaries'!$B9, NER!$L:$L)</f>
        <v>0</v>
      </c>
      <c r="G9" s="227">
        <f>SUMIF(UGA!$B:$B, 'Services to Beneficiaries'!$B9, UGA!$L:$L)</f>
        <v>0</v>
      </c>
      <c r="H9" s="228">
        <f>SUMIF(RWA!$B:$B, 'Services to Beneficiaries'!$B9, RWA!$L:$L)</f>
        <v>0</v>
      </c>
    </row>
    <row r="10" spans="2:8">
      <c r="B10" s="222" t="s">
        <v>14</v>
      </c>
      <c r="C10" s="250" t="s">
        <v>15</v>
      </c>
      <c r="D10" s="227">
        <f>SUM(E10:H10)</f>
        <v>1687977.8275334991</v>
      </c>
      <c r="E10" s="227">
        <f>SUMIF(MLI!$B:$B, 'Services to Beneficiaries'!$B10, MLI!$L:$L)</f>
        <v>362885.98185551795</v>
      </c>
      <c r="F10" s="227">
        <f>SUMIF(NER!$B:$B, 'Services to Beneficiaries'!$B10, NER!$L:$L)</f>
        <v>366394.99540366215</v>
      </c>
      <c r="G10" s="227">
        <f>SUMIF(UGA!$B:$B, 'Services to Beneficiaries'!$B10, UGA!$L:$L)</f>
        <v>330809.02858449164</v>
      </c>
      <c r="H10" s="228">
        <f>SUMIF(RWA!$B:$B, 'Services to Beneficiaries'!$B10, RWA!$L:$L)</f>
        <v>627887.82168982737</v>
      </c>
    </row>
    <row r="11" spans="2:8">
      <c r="B11" s="222" t="s">
        <v>16</v>
      </c>
      <c r="C11" s="250" t="s">
        <v>17</v>
      </c>
      <c r="D11" s="227">
        <f t="shared" si="0"/>
        <v>0</v>
      </c>
      <c r="E11" s="227">
        <f>SUMIF(MLI!$B:$B, 'Services to Beneficiaries'!$B11, MLI!$L:$L)</f>
        <v>0</v>
      </c>
      <c r="F11" s="227">
        <f>SUMIF(NER!$B:$B, 'Services to Beneficiaries'!$B11, NER!$L:$L)</f>
        <v>0</v>
      </c>
      <c r="G11" s="227">
        <f>SUMIF(UGA!$B:$B, 'Services to Beneficiaries'!$B11, UGA!$L:$L)</f>
        <v>0</v>
      </c>
      <c r="H11" s="228">
        <f>SUMIF(RWA!$B:$B, 'Services to Beneficiaries'!$B11, RWA!$L:$L)</f>
        <v>0</v>
      </c>
    </row>
    <row r="12" spans="2:8" ht="33" customHeight="1">
      <c r="B12" s="222" t="s">
        <v>18</v>
      </c>
      <c r="C12" s="250" t="s">
        <v>19</v>
      </c>
      <c r="D12" s="227">
        <f t="shared" si="0"/>
        <v>0</v>
      </c>
      <c r="E12" s="227">
        <f>SUMIF(MLI!$B:$B, 'Services to Beneficiaries'!$B12, MLI!$L:$L)</f>
        <v>0</v>
      </c>
      <c r="F12" s="227">
        <f>SUMIF(NER!$B:$B, 'Services to Beneficiaries'!$B12, NER!$L:$L)</f>
        <v>0</v>
      </c>
      <c r="G12" s="227">
        <f>SUMIF(UGA!$B:$B, 'Services to Beneficiaries'!$B12, UGA!$L:$L)</f>
        <v>0</v>
      </c>
      <c r="H12" s="228">
        <f>SUMIF(RWA!$B:$B, 'Services to Beneficiaries'!$B12, RWA!$L:$L)</f>
        <v>0</v>
      </c>
    </row>
    <row r="13" spans="2:8" ht="28.8">
      <c r="B13" s="222" t="s">
        <v>20</v>
      </c>
      <c r="C13" s="250" t="s">
        <v>21</v>
      </c>
      <c r="D13" s="227">
        <f t="shared" si="0"/>
        <v>249437.86275096043</v>
      </c>
      <c r="E13" s="227">
        <f>SUMIF(MLI!$B:$B, 'Services to Beneficiaries'!$B13, MLI!$L:$L)</f>
        <v>15427.84054442593</v>
      </c>
      <c r="F13" s="227">
        <f>SUMIF(NER!$B:$B, 'Services to Beneficiaries'!$B13, NER!$L:$L)</f>
        <v>69086.84563164963</v>
      </c>
      <c r="G13" s="227">
        <f>SUMIF(UGA!$B:$B, 'Services to Beneficiaries'!$B13, UGA!$L:$L)</f>
        <v>158764.9966824695</v>
      </c>
      <c r="H13" s="228">
        <f>SUMIF(RWA!$B:$B, 'Services to Beneficiaries'!$B13, RWA!$L:$L)</f>
        <v>6158.1798924153973</v>
      </c>
    </row>
    <row r="14" spans="2:8" ht="28.5" customHeight="1">
      <c r="B14" s="222" t="s">
        <v>22</v>
      </c>
      <c r="C14" s="250" t="s">
        <v>23</v>
      </c>
      <c r="D14" s="227">
        <f t="shared" si="0"/>
        <v>15419.212409079762</v>
      </c>
      <c r="E14" s="227">
        <f>SUMIF(MLI!$B:$B, 'Services to Beneficiaries'!$B14, MLI!$L:$L)</f>
        <v>4039.898956791375</v>
      </c>
      <c r="F14" s="227">
        <f>SUMIF(NER!$B:$B, 'Services to Beneficiaries'!$B14, NER!$L:$L)</f>
        <v>8445.6755549525351</v>
      </c>
      <c r="G14" s="227">
        <f>SUMIF(UGA!$B:$B, 'Services to Beneficiaries'!$B14, UGA!$L:$L)</f>
        <v>2453.2998657274516</v>
      </c>
      <c r="H14" s="228">
        <f>SUMIF(RWA!$B:$B, 'Services to Beneficiaries'!$B14, RWA!$L:$L)</f>
        <v>480.33803160840097</v>
      </c>
    </row>
    <row r="15" spans="2:8">
      <c r="B15" s="222" t="s">
        <v>24</v>
      </c>
      <c r="C15" s="250" t="s">
        <v>25</v>
      </c>
      <c r="D15" s="227">
        <f t="shared" si="0"/>
        <v>267893.45352915226</v>
      </c>
      <c r="E15" s="227">
        <f>SUMIF(MLI!$B:$B, 'Services to Beneficiaries'!$B15, MLI!$L:$L)</f>
        <v>157193.48676818755</v>
      </c>
      <c r="F15" s="227">
        <f>SUMIF(NER!$B:$B, 'Services to Beneficiaries'!$B15, NER!$L:$L)</f>
        <v>66683.249054434971</v>
      </c>
      <c r="G15" s="227">
        <f>SUMIF(UGA!$B:$B, 'Services to Beneficiaries'!$B15, UGA!$L:$L)</f>
        <v>23562.32319387202</v>
      </c>
      <c r="H15" s="228">
        <f>SUMIF(RWA!$B:$B, 'Services to Beneficiaries'!$B15, RWA!$L:$L)</f>
        <v>20454.394512657742</v>
      </c>
    </row>
    <row r="16" spans="2:8" ht="28.8">
      <c r="B16" s="222" t="s">
        <v>26</v>
      </c>
      <c r="C16" s="250" t="s">
        <v>27</v>
      </c>
      <c r="D16" s="227">
        <f t="shared" si="0"/>
        <v>36351.943682648533</v>
      </c>
      <c r="E16" s="227">
        <f>SUMIF(MLI!$B:$B, 'Services to Beneficiaries'!$B16, MLI!$L:$L)</f>
        <v>20748.311246011552</v>
      </c>
      <c r="F16" s="227">
        <f>SUMIF(NER!$B:$B, 'Services to Beneficiaries'!$B16, NER!$L:$L)</f>
        <v>0</v>
      </c>
      <c r="G16" s="227">
        <f>SUMIF(UGA!$B:$B, 'Services to Beneficiaries'!$B16, UGA!$L:$L)</f>
        <v>7856.6421319784095</v>
      </c>
      <c r="H16" s="228">
        <f>SUMIF(RWA!$B:$B, 'Services to Beneficiaries'!$B16, RWA!$L:$L)</f>
        <v>7746.9903046585696</v>
      </c>
    </row>
    <row r="17" spans="2:8">
      <c r="B17" s="223" t="s">
        <v>28</v>
      </c>
      <c r="C17" s="251" t="s">
        <v>29</v>
      </c>
      <c r="D17" s="229">
        <f t="shared" si="0"/>
        <v>240633.41234023595</v>
      </c>
      <c r="E17" s="229">
        <f>SUMIF(MLI!$B:$B, 'Services to Beneficiaries'!$B17, MLI!$L:$L)</f>
        <v>59949.999984755101</v>
      </c>
      <c r="F17" s="229">
        <f>SUMIF(NER!$B:$B, 'Services to Beneficiaries'!$B17, NER!$L:$L)</f>
        <v>59950</v>
      </c>
      <c r="G17" s="229">
        <f>SUMIF(UGA!$B:$B, 'Services to Beneficiaries'!$B17, UGA!$L:$L)</f>
        <v>60783.412557854026</v>
      </c>
      <c r="H17" s="230">
        <f>SUMIF(RWA!$B:$B, 'Services to Beneficiaries'!$B17, RWA!$L:$L)</f>
        <v>59949.999797626821</v>
      </c>
    </row>
    <row r="18" spans="2:8" ht="15" thickBot="1">
      <c r="C18" s="224" t="s">
        <v>30</v>
      </c>
      <c r="D18" s="231">
        <f>SUM(D7:D17)</f>
        <v>2497713.7122455761</v>
      </c>
      <c r="E18" s="231">
        <f>SUM(E7:E17)</f>
        <v>620245.51935568941</v>
      </c>
      <c r="F18" s="231">
        <f t="shared" ref="F18:H18" si="1">SUM(F7:F17)</f>
        <v>570560.76564469934</v>
      </c>
      <c r="G18" s="231">
        <f t="shared" si="1"/>
        <v>584229.703016393</v>
      </c>
      <c r="H18" s="231">
        <f t="shared" si="1"/>
        <v>722677.72422879434</v>
      </c>
    </row>
    <row r="19" spans="2:8">
      <c r="D19" s="246"/>
    </row>
    <row r="20" spans="2:8" ht="15" thickBot="1"/>
    <row r="21" spans="2:8" ht="15" thickBot="1">
      <c r="C21" s="224" t="s">
        <v>31</v>
      </c>
      <c r="D21" s="231">
        <f>+MLI!L162-MLI!L161+NER!L144-NER!L143+UGA!L172-UGA!L171+RWA!L121-RWA!L120</f>
        <v>4540284.3615033785</v>
      </c>
      <c r="E21" s="231">
        <f>+MLI!L162-MLI!L161</f>
        <v>1135071.0893714358</v>
      </c>
      <c r="F21" s="231">
        <f>+NER!L144-NER!L143</f>
        <v>1135071.0922600427</v>
      </c>
      <c r="G21" s="231">
        <f>+UGA!L172-UGA!L171</f>
        <v>1135071.0861230581</v>
      </c>
      <c r="H21" s="231">
        <f>+RWA!L121-RWA!L120</f>
        <v>1135071.0937488424</v>
      </c>
    </row>
    <row r="22" spans="2:8" ht="15" thickBot="1"/>
    <row r="23" spans="2:8" ht="15" thickBot="1">
      <c r="C23" s="224" t="s">
        <v>32</v>
      </c>
      <c r="D23" s="245">
        <f>+D$18/D$21</f>
        <v>0.55012274857131049</v>
      </c>
      <c r="E23" s="247">
        <f t="shared" ref="E23:H23" si="2">+E$18/E$21</f>
        <v>0.54643759775360023</v>
      </c>
      <c r="F23" s="247">
        <f t="shared" si="2"/>
        <v>0.50266522470293418</v>
      </c>
      <c r="G23" s="247">
        <f t="shared" si="2"/>
        <v>0.51470758982319287</v>
      </c>
      <c r="H23" s="247">
        <f t="shared" si="2"/>
        <v>0.63668058169112496</v>
      </c>
    </row>
    <row r="25" spans="2:8">
      <c r="C25" s="224" t="s">
        <v>33</v>
      </c>
      <c r="D25" s="231">
        <f>SUM(E25:H25)</f>
        <v>4790000.0014569853</v>
      </c>
      <c r="E25" s="231">
        <f>+MLI!L162</f>
        <v>1197499.9990946639</v>
      </c>
      <c r="F25" s="231">
        <f>+NER!L144</f>
        <v>1197500.0023343451</v>
      </c>
      <c r="G25" s="231">
        <f>+UGA!L172</f>
        <v>1197499.996123058</v>
      </c>
      <c r="H25" s="231">
        <f>+RWA!L121</f>
        <v>1197500.003904918</v>
      </c>
    </row>
    <row r="27" spans="2:8">
      <c r="C27" s="224" t="s">
        <v>34</v>
      </c>
      <c r="D27" s="245">
        <f>+D$18/D$25</f>
        <v>0.5214433635669814</v>
      </c>
      <c r="E27" s="247">
        <f t="shared" ref="E27:H27" si="3">+E$18/E$25</f>
        <v>0.51795032970739752</v>
      </c>
      <c r="F27" s="247">
        <f t="shared" si="3"/>
        <v>0.47645992862837361</v>
      </c>
      <c r="G27" s="247">
        <f t="shared" si="3"/>
        <v>0.48787449261616211</v>
      </c>
      <c r="H27" s="247">
        <f t="shared" si="3"/>
        <v>0.60348870302481872</v>
      </c>
    </row>
  </sheetData>
  <mergeCells count="1">
    <mergeCell ref="C2:H2"/>
  </mergeCells>
  <phoneticPr fontId="32" type="noConversion"/>
  <conditionalFormatting sqref="D23">
    <cfRule type="cellIs" dxfId="3" priority="3" operator="lessThan">
      <formula>0.5</formula>
    </cfRule>
    <cfRule type="cellIs" dxfId="2" priority="4" operator="greaterThan">
      <formula>0.5</formula>
    </cfRule>
  </conditionalFormatting>
  <conditionalFormatting sqref="D27">
    <cfRule type="cellIs" dxfId="1" priority="1" operator="lessThan">
      <formula>0.5</formula>
    </cfRule>
    <cfRule type="cellIs" dxfId="0" priority="2" operator="greaterThan">
      <formula>0.5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6"/>
  <sheetViews>
    <sheetView topLeftCell="A153" zoomScale="80" zoomScaleNormal="80" workbookViewId="0">
      <selection activeCell="A155" sqref="A155:A161"/>
    </sheetView>
  </sheetViews>
  <sheetFormatPr defaultColWidth="24.88671875" defaultRowHeight="12.9" customHeight="1"/>
  <cols>
    <col min="1" max="1" width="5.109375" style="14" customWidth="1"/>
    <col min="2" max="2" width="13.5546875" style="15" customWidth="1"/>
    <col min="3" max="3" width="37.88671875" style="15" customWidth="1"/>
    <col min="4" max="4" width="13.5546875" style="15" customWidth="1"/>
    <col min="5" max="5" width="43.5546875" style="15" customWidth="1"/>
    <col min="6" max="6" width="12.88671875" style="15" customWidth="1"/>
    <col min="7" max="7" width="14.44140625" style="15" customWidth="1"/>
    <col min="8" max="8" width="16.88671875" style="15" customWidth="1"/>
    <col min="9" max="9" width="9.88671875" style="15" customWidth="1"/>
    <col min="10" max="10" width="9.5546875" style="112" customWidth="1"/>
    <col min="11" max="11" width="15.88671875" style="15" bestFit="1" customWidth="1"/>
    <col min="12" max="12" width="19.33203125" style="89" customWidth="1"/>
    <col min="13" max="19" width="19" style="91" customWidth="1"/>
    <col min="20" max="16384" width="24.88671875" style="15"/>
  </cols>
  <sheetData>
    <row r="1" spans="1:19" ht="13.2">
      <c r="E1" s="91"/>
      <c r="J1" s="15"/>
      <c r="L1" s="129"/>
      <c r="M1" s="129"/>
      <c r="N1" s="129"/>
      <c r="O1" s="129"/>
      <c r="P1" s="129"/>
      <c r="Q1" s="129"/>
      <c r="R1" s="129"/>
      <c r="S1" s="129"/>
    </row>
    <row r="2" spans="1:19" ht="13.2">
      <c r="E2" s="91"/>
      <c r="J2" s="15"/>
      <c r="L2" s="129"/>
      <c r="M2" s="129"/>
      <c r="N2" s="129"/>
      <c r="O2" s="129"/>
      <c r="P2" s="129"/>
      <c r="Q2" s="129"/>
      <c r="R2" s="129"/>
      <c r="S2" s="129"/>
    </row>
    <row r="3" spans="1:19" ht="13.2">
      <c r="E3" s="91"/>
      <c r="J3" s="15"/>
      <c r="L3" s="129"/>
      <c r="M3" s="129"/>
      <c r="N3" s="129"/>
      <c r="O3" s="129"/>
      <c r="P3" s="129"/>
      <c r="Q3" s="129"/>
      <c r="R3" s="129"/>
      <c r="S3" s="129"/>
    </row>
    <row r="4" spans="1:19" ht="13.2">
      <c r="E4" s="91"/>
      <c r="J4" s="15"/>
      <c r="L4" s="129"/>
      <c r="M4" s="129"/>
      <c r="N4" s="129"/>
      <c r="O4" s="129"/>
      <c r="P4" s="129"/>
      <c r="Q4" s="129"/>
      <c r="R4" s="129"/>
      <c r="S4" s="129"/>
    </row>
    <row r="5" spans="1:19" ht="13.2">
      <c r="E5" s="91"/>
      <c r="J5" s="15"/>
      <c r="L5" s="129"/>
      <c r="M5" s="129"/>
      <c r="N5" s="129"/>
      <c r="O5" s="129"/>
      <c r="P5" s="129"/>
      <c r="Q5" s="129"/>
      <c r="R5" s="129"/>
      <c r="S5" s="129"/>
    </row>
    <row r="6" spans="1:19" ht="13.2">
      <c r="E6" s="91"/>
      <c r="J6" s="15"/>
      <c r="L6" s="129"/>
      <c r="M6" s="129"/>
      <c r="N6" s="129"/>
      <c r="O6" s="129"/>
      <c r="P6" s="129"/>
      <c r="Q6" s="129"/>
      <c r="R6" s="129"/>
      <c r="S6" s="129"/>
    </row>
    <row r="7" spans="1:19" ht="13.2">
      <c r="E7" s="91"/>
      <c r="J7" s="15"/>
      <c r="L7" s="129"/>
      <c r="M7" s="129"/>
      <c r="N7" s="129"/>
      <c r="O7" s="129"/>
      <c r="P7" s="129"/>
      <c r="Q7" s="129"/>
      <c r="R7" s="129"/>
      <c r="S7" s="129"/>
    </row>
    <row r="8" spans="1:19" ht="13.2">
      <c r="E8" s="91"/>
      <c r="J8" s="15"/>
      <c r="L8" s="129"/>
      <c r="M8" s="129"/>
      <c r="N8" s="129"/>
      <c r="O8" s="129"/>
      <c r="P8" s="129"/>
      <c r="Q8" s="129"/>
      <c r="R8" s="129"/>
      <c r="S8" s="129"/>
    </row>
    <row r="9" spans="1:19" ht="13.2">
      <c r="E9" s="91"/>
      <c r="J9" s="15"/>
      <c r="L9" s="129"/>
      <c r="M9" s="129"/>
      <c r="N9" s="129"/>
      <c r="O9" s="129"/>
      <c r="P9" s="129"/>
      <c r="Q9" s="129"/>
      <c r="R9" s="129"/>
      <c r="S9" s="129"/>
    </row>
    <row r="10" spans="1:19" ht="13.2">
      <c r="E10" s="91"/>
      <c r="J10" s="15"/>
      <c r="L10" s="129"/>
      <c r="M10" s="129"/>
      <c r="N10" s="129"/>
      <c r="O10" s="129"/>
      <c r="P10" s="129"/>
      <c r="Q10" s="129"/>
      <c r="R10" s="129"/>
      <c r="S10" s="129"/>
    </row>
    <row r="11" spans="1:19" ht="13.2">
      <c r="E11" s="91"/>
      <c r="J11" s="15"/>
      <c r="L11" s="129"/>
      <c r="M11" s="129"/>
      <c r="N11" s="129"/>
      <c r="O11" s="129"/>
      <c r="P11" s="129"/>
      <c r="Q11" s="129"/>
      <c r="R11" s="129"/>
      <c r="S11" s="129"/>
    </row>
    <row r="12" spans="1:19" ht="13.2">
      <c r="E12" s="91"/>
      <c r="J12" s="15"/>
      <c r="L12" s="129"/>
      <c r="M12" s="129"/>
      <c r="N12" s="129"/>
      <c r="O12" s="129"/>
      <c r="P12" s="129"/>
      <c r="Q12" s="129"/>
      <c r="R12" s="129"/>
      <c r="S12" s="129"/>
    </row>
    <row r="13" spans="1:19" ht="13.2">
      <c r="E13" s="91"/>
      <c r="J13" s="15"/>
      <c r="L13" s="129"/>
      <c r="M13" s="129"/>
      <c r="N13" s="129"/>
      <c r="O13" s="129"/>
      <c r="P13" s="129"/>
      <c r="Q13" s="129"/>
      <c r="R13" s="129"/>
      <c r="S13" s="129"/>
    </row>
    <row r="14" spans="1:19" ht="13.2">
      <c r="E14" s="91"/>
      <c r="J14" s="15"/>
      <c r="L14" s="129"/>
      <c r="M14" s="129"/>
      <c r="N14" s="129"/>
      <c r="O14" s="129"/>
      <c r="P14" s="129"/>
      <c r="Q14" s="129"/>
      <c r="R14" s="129"/>
      <c r="S14" s="129"/>
    </row>
    <row r="15" spans="1:19" s="2" customFormat="1" ht="17.399999999999999">
      <c r="A15" s="1"/>
      <c r="B15" s="68"/>
      <c r="C15" s="68"/>
      <c r="D15" s="68"/>
      <c r="E15" s="203" t="s">
        <v>35</v>
      </c>
      <c r="F15" s="69"/>
      <c r="G15" s="70"/>
      <c r="H15" s="70"/>
      <c r="I15" s="70"/>
      <c r="J15" s="110"/>
      <c r="K15" s="70"/>
      <c r="L15" s="135"/>
      <c r="M15" s="136"/>
      <c r="N15" s="136"/>
      <c r="O15" s="136"/>
      <c r="P15" s="136"/>
      <c r="Q15" s="136"/>
      <c r="R15" s="136"/>
      <c r="S15" s="136"/>
    </row>
    <row r="16" spans="1:19" s="2" customFormat="1" ht="17.399999999999999">
      <c r="A16" s="1"/>
      <c r="B16" s="68"/>
      <c r="C16" s="68"/>
      <c r="D16" s="68"/>
      <c r="E16" s="203" t="s">
        <v>36</v>
      </c>
      <c r="F16" s="69"/>
      <c r="G16" s="70"/>
      <c r="H16" s="70"/>
      <c r="I16" s="70"/>
      <c r="J16" s="110"/>
      <c r="K16" s="70"/>
      <c r="L16" s="135"/>
      <c r="M16" s="136"/>
      <c r="N16" s="136"/>
      <c r="O16" s="136"/>
      <c r="P16" s="136"/>
      <c r="Q16" s="136"/>
      <c r="R16" s="136"/>
      <c r="S16" s="136"/>
    </row>
    <row r="17" spans="1:19" s="2" customFormat="1" ht="17.399999999999999">
      <c r="A17" s="1"/>
      <c r="E17" s="202" t="s">
        <v>37</v>
      </c>
      <c r="F17" s="69"/>
      <c r="G17" s="262"/>
      <c r="H17" s="262"/>
      <c r="I17" s="262"/>
      <c r="J17" s="262"/>
      <c r="K17" s="262"/>
      <c r="L17" s="137"/>
      <c r="M17" s="138"/>
      <c r="N17" s="138"/>
      <c r="O17" s="138"/>
      <c r="P17" s="138"/>
      <c r="Q17" s="138"/>
      <c r="R17" s="138"/>
      <c r="S17" s="138"/>
    </row>
    <row r="18" spans="1:19" s="2" customFormat="1" ht="17.399999999999999">
      <c r="A18" s="1"/>
      <c r="B18" s="68"/>
      <c r="C18" s="68"/>
      <c r="D18" s="68"/>
      <c r="E18" s="203" t="s">
        <v>38</v>
      </c>
      <c r="F18" s="69"/>
      <c r="G18" s="70"/>
      <c r="H18" s="70"/>
      <c r="I18" s="70"/>
      <c r="J18" s="110"/>
      <c r="K18" s="70"/>
      <c r="L18" s="139"/>
      <c r="M18" s="140"/>
      <c r="N18" s="140"/>
      <c r="O18" s="140"/>
      <c r="P18" s="140"/>
      <c r="Q18" s="140"/>
      <c r="R18" s="140"/>
      <c r="S18" s="140"/>
    </row>
    <row r="19" spans="1:19" s="2" customFormat="1" ht="17.399999999999999">
      <c r="A19" s="1"/>
      <c r="B19" s="68"/>
      <c r="C19" s="68"/>
      <c r="D19" s="68"/>
      <c r="E19" s="203" t="s">
        <v>39</v>
      </c>
      <c r="F19" s="69"/>
      <c r="G19" s="70"/>
      <c r="H19" s="70"/>
      <c r="I19" s="70"/>
      <c r="J19" s="110"/>
      <c r="K19" s="96"/>
      <c r="L19" s="135"/>
      <c r="M19" s="141"/>
      <c r="N19" s="142"/>
      <c r="O19" s="142"/>
      <c r="P19" s="142"/>
      <c r="Q19" s="142"/>
      <c r="R19" s="142"/>
      <c r="S19" s="142"/>
    </row>
    <row r="20" spans="1:19" s="2" customFormat="1" ht="17.399999999999999">
      <c r="A20" s="1"/>
      <c r="B20" s="68"/>
      <c r="C20" s="68"/>
      <c r="D20" s="68"/>
      <c r="E20" s="203" t="s">
        <v>40</v>
      </c>
      <c r="F20" s="69"/>
      <c r="G20" s="70"/>
      <c r="H20" s="70"/>
      <c r="I20" s="70"/>
      <c r="J20" s="110"/>
      <c r="K20" s="96"/>
      <c r="L20" s="135"/>
      <c r="M20" s="142"/>
      <c r="N20" s="142"/>
      <c r="O20" s="142"/>
      <c r="P20" s="142"/>
      <c r="Q20" s="142"/>
      <c r="R20" s="142"/>
      <c r="S20" s="142"/>
    </row>
    <row r="21" spans="1:19" ht="12.75" customHeight="1">
      <c r="E21" s="73"/>
      <c r="F21" s="111"/>
      <c r="G21" s="92"/>
      <c r="H21" s="74"/>
      <c r="K21" s="96"/>
      <c r="L21" s="139"/>
      <c r="M21" s="142"/>
      <c r="N21" s="142"/>
      <c r="O21" s="142"/>
      <c r="P21" s="142"/>
      <c r="Q21" s="142"/>
      <c r="R21" s="142"/>
      <c r="S21" s="142"/>
    </row>
    <row r="22" spans="1:19" s="67" customFormat="1" ht="14.25" customHeight="1" thickBo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43"/>
      <c r="M22" s="143"/>
      <c r="N22" s="143"/>
      <c r="O22" s="143"/>
      <c r="P22" s="143"/>
      <c r="Q22" s="143"/>
      <c r="R22" s="143"/>
      <c r="S22" s="143"/>
    </row>
    <row r="23" spans="1:19" s="4" customFormat="1" ht="13.8" thickBot="1">
      <c r="A23" s="3"/>
      <c r="B23" s="263"/>
      <c r="C23" s="263"/>
      <c r="D23" s="263" t="s">
        <v>41</v>
      </c>
      <c r="E23" s="260" t="s">
        <v>1</v>
      </c>
      <c r="F23" s="261" t="s">
        <v>42</v>
      </c>
      <c r="G23" s="260" t="s">
        <v>43</v>
      </c>
      <c r="H23" s="260" t="s">
        <v>44</v>
      </c>
      <c r="I23" s="268" t="s">
        <v>45</v>
      </c>
      <c r="J23" s="267" t="s">
        <v>46</v>
      </c>
      <c r="K23" s="260" t="s">
        <v>47</v>
      </c>
      <c r="L23" s="266" t="s">
        <v>48</v>
      </c>
      <c r="M23" s="264" t="s">
        <v>49</v>
      </c>
      <c r="N23" s="264" t="s">
        <v>50</v>
      </c>
      <c r="O23" s="264" t="s">
        <v>51</v>
      </c>
      <c r="P23" s="264" t="s">
        <v>52</v>
      </c>
      <c r="Q23" s="264" t="s">
        <v>53</v>
      </c>
      <c r="R23" s="264" t="s">
        <v>54</v>
      </c>
      <c r="S23" s="264" t="s">
        <v>55</v>
      </c>
    </row>
    <row r="24" spans="1:19" s="4" customFormat="1" ht="13.2">
      <c r="A24" s="3"/>
      <c r="B24" s="263"/>
      <c r="C24" s="263"/>
      <c r="D24" s="263"/>
      <c r="E24" s="260"/>
      <c r="F24" s="261"/>
      <c r="G24" s="260" t="s">
        <v>56</v>
      </c>
      <c r="H24" s="260" t="s">
        <v>57</v>
      </c>
      <c r="I24" s="268"/>
      <c r="J24" s="267"/>
      <c r="K24" s="260"/>
      <c r="L24" s="266"/>
      <c r="M24" s="264"/>
      <c r="N24" s="264"/>
      <c r="O24" s="264"/>
      <c r="P24" s="264"/>
      <c r="Q24" s="264"/>
      <c r="R24" s="264"/>
      <c r="S24" s="264"/>
    </row>
    <row r="25" spans="1:19" s="5" customFormat="1" ht="15.6">
      <c r="B25" s="6"/>
      <c r="C25" s="6"/>
      <c r="D25" s="6" t="s">
        <v>58</v>
      </c>
      <c r="E25" s="7" t="s">
        <v>59</v>
      </c>
      <c r="F25" s="7"/>
      <c r="G25" s="7"/>
      <c r="H25" s="7"/>
      <c r="I25" s="7"/>
      <c r="J25" s="113"/>
      <c r="K25" s="22"/>
      <c r="L25" s="144">
        <f t="shared" ref="L25:S25" si="0">SUM(L26,L31,L34,L37)</f>
        <v>6273.2770593194382</v>
      </c>
      <c r="M25" s="144">
        <f t="shared" si="0"/>
        <v>1254.6554118638876</v>
      </c>
      <c r="N25" s="144">
        <f t="shared" si="0"/>
        <v>1254.6554118638876</v>
      </c>
      <c r="O25" s="144">
        <f t="shared" si="0"/>
        <v>1254.6554118638876</v>
      </c>
      <c r="P25" s="144">
        <f t="shared" si="0"/>
        <v>1254.6554118638876</v>
      </c>
      <c r="Q25" s="144">
        <f t="shared" si="0"/>
        <v>1254.6554118638876</v>
      </c>
      <c r="R25" s="144">
        <f t="shared" si="0"/>
        <v>6273.2770593194382</v>
      </c>
      <c r="S25" s="144">
        <f t="shared" si="0"/>
        <v>0</v>
      </c>
    </row>
    <row r="26" spans="1:19" s="10" customFormat="1" ht="13.2">
      <c r="A26" s="9"/>
      <c r="B26" s="24"/>
      <c r="C26" s="24"/>
      <c r="D26" s="24" t="s">
        <v>60</v>
      </c>
      <c r="E26" s="25" t="s">
        <v>61</v>
      </c>
      <c r="F26" s="25"/>
      <c r="G26" s="25"/>
      <c r="H26" s="25"/>
      <c r="I26" s="25"/>
      <c r="J26" s="115"/>
      <c r="K26" s="28"/>
      <c r="L26" s="145">
        <f t="shared" ref="L26:S26" si="1">SUM(L27:L30)</f>
        <v>6273.2770593194382</v>
      </c>
      <c r="M26" s="145">
        <f t="shared" si="1"/>
        <v>1254.6554118638876</v>
      </c>
      <c r="N26" s="145">
        <f t="shared" si="1"/>
        <v>1254.6554118638876</v>
      </c>
      <c r="O26" s="145">
        <f t="shared" si="1"/>
        <v>1254.6554118638876</v>
      </c>
      <c r="P26" s="145">
        <f t="shared" si="1"/>
        <v>1254.6554118638876</v>
      </c>
      <c r="Q26" s="145">
        <f t="shared" si="1"/>
        <v>1254.6554118638876</v>
      </c>
      <c r="R26" s="145">
        <f t="shared" si="1"/>
        <v>6273.2770593194382</v>
      </c>
      <c r="S26" s="145">
        <f t="shared" si="1"/>
        <v>0</v>
      </c>
    </row>
    <row r="27" spans="1:19" s="160" customFormat="1" ht="13.2">
      <c r="A27" s="123"/>
      <c r="B27" s="125"/>
      <c r="C27" s="125" t="str">
        <f>+IFERROR(VLOOKUP($B27, 'Services to Beneficiaries'!$B$7:$C$17, 2, 0), " ")</f>
        <v xml:space="preserve"> </v>
      </c>
      <c r="D27" s="125" t="s">
        <v>62</v>
      </c>
      <c r="E27" s="126" t="s">
        <v>63</v>
      </c>
      <c r="F27" s="126">
        <v>3</v>
      </c>
      <c r="G27" s="126" t="s">
        <v>64</v>
      </c>
      <c r="H27" s="126">
        <v>1</v>
      </c>
      <c r="I27" s="126" t="s">
        <v>65</v>
      </c>
      <c r="J27" s="127">
        <v>1</v>
      </c>
      <c r="K27" s="161">
        <v>1455.8881146172691</v>
      </c>
      <c r="L27" s="128">
        <v>4367.6643438518076</v>
      </c>
      <c r="M27" s="128">
        <v>873.53286877036157</v>
      </c>
      <c r="N27" s="128">
        <v>873.53286877036157</v>
      </c>
      <c r="O27" s="128">
        <v>873.53286877036157</v>
      </c>
      <c r="P27" s="128">
        <v>873.53286877036157</v>
      </c>
      <c r="Q27" s="128">
        <v>873.53286877036157</v>
      </c>
      <c r="R27" s="126">
        <v>4367.6643438518076</v>
      </c>
      <c r="S27" s="126">
        <v>0</v>
      </c>
    </row>
    <row r="28" spans="1:19" s="10" customFormat="1" ht="13.2">
      <c r="A28" s="9"/>
      <c r="B28" s="125"/>
      <c r="C28" s="125" t="str">
        <f>+IFERROR(VLOOKUP($B28, 'Services to Beneficiaries'!$B$7:$C$17, 2, 0), " ")</f>
        <v xml:space="preserve"> </v>
      </c>
      <c r="D28" s="32" t="s">
        <v>66</v>
      </c>
      <c r="E28" s="34" t="s">
        <v>67</v>
      </c>
      <c r="F28" s="34">
        <v>1</v>
      </c>
      <c r="G28" s="34" t="s">
        <v>64</v>
      </c>
      <c r="H28" s="34">
        <v>1</v>
      </c>
      <c r="I28" s="34" t="s">
        <v>68</v>
      </c>
      <c r="J28" s="116">
        <v>1</v>
      </c>
      <c r="K28" s="117">
        <v>990.91861204316751</v>
      </c>
      <c r="L28" s="128">
        <v>990.91861204316751</v>
      </c>
      <c r="M28" s="128">
        <v>198.18372240863351</v>
      </c>
      <c r="N28" s="128">
        <v>198.18372240863351</v>
      </c>
      <c r="O28" s="128">
        <v>198.18372240863351</v>
      </c>
      <c r="P28" s="128">
        <v>198.18372240863351</v>
      </c>
      <c r="Q28" s="128">
        <v>198.18372240863351</v>
      </c>
      <c r="R28" s="126">
        <v>990.91861204316751</v>
      </c>
      <c r="S28" s="126"/>
    </row>
    <row r="29" spans="1:19" s="10" customFormat="1" ht="13.2">
      <c r="A29" s="9"/>
      <c r="B29" s="125"/>
      <c r="C29" s="125" t="str">
        <f>+IFERROR(VLOOKUP($B29, 'Services to Beneficiaries'!$B$7:$C$17, 2, 0), " ")</f>
        <v xml:space="preserve"> </v>
      </c>
      <c r="D29" s="32" t="s">
        <v>69</v>
      </c>
      <c r="E29" s="34" t="s">
        <v>70</v>
      </c>
      <c r="F29" s="34">
        <v>1</v>
      </c>
      <c r="G29" s="34" t="s">
        <v>64</v>
      </c>
      <c r="H29" s="34">
        <v>1</v>
      </c>
      <c r="I29" s="34" t="s">
        <v>71</v>
      </c>
      <c r="J29" s="116">
        <v>1</v>
      </c>
      <c r="K29" s="117">
        <v>457.34705171223112</v>
      </c>
      <c r="L29" s="128">
        <v>457.34705171223112</v>
      </c>
      <c r="M29" s="128">
        <v>91.469410342446224</v>
      </c>
      <c r="N29" s="128">
        <v>91.469410342446224</v>
      </c>
      <c r="O29" s="128">
        <v>91.469410342446224</v>
      </c>
      <c r="P29" s="128">
        <v>91.469410342446224</v>
      </c>
      <c r="Q29" s="128">
        <v>91.469410342446224</v>
      </c>
      <c r="R29" s="128">
        <v>457.34705171223112</v>
      </c>
      <c r="S29" s="128"/>
    </row>
    <row r="30" spans="1:19" s="10" customFormat="1" ht="13.2">
      <c r="A30" s="9"/>
      <c r="B30" s="125"/>
      <c r="C30" s="125" t="str">
        <f>+IFERROR(VLOOKUP($B30, 'Services to Beneficiaries'!$B$7:$C$17, 2, 0), " ")</f>
        <v xml:space="preserve"> </v>
      </c>
      <c r="D30" s="32" t="s">
        <v>72</v>
      </c>
      <c r="E30" s="34" t="s">
        <v>73</v>
      </c>
      <c r="F30" s="34">
        <v>2</v>
      </c>
      <c r="G30" s="34" t="s">
        <v>64</v>
      </c>
      <c r="H30" s="34">
        <v>1</v>
      </c>
      <c r="I30" s="34" t="s">
        <v>74</v>
      </c>
      <c r="J30" s="116">
        <v>1</v>
      </c>
      <c r="K30" s="117">
        <v>228.67352585611556</v>
      </c>
      <c r="L30" s="128">
        <v>457.34705171223112</v>
      </c>
      <c r="M30" s="128">
        <v>91.469410342446224</v>
      </c>
      <c r="N30" s="128">
        <v>91.469410342446224</v>
      </c>
      <c r="O30" s="128">
        <v>91.469410342446224</v>
      </c>
      <c r="P30" s="128">
        <v>91.469410342446224</v>
      </c>
      <c r="Q30" s="128">
        <v>91.469410342446224</v>
      </c>
      <c r="R30" s="128">
        <v>457.34705171223112</v>
      </c>
      <c r="S30" s="128"/>
    </row>
    <row r="31" spans="1:19" s="10" customFormat="1" ht="13.2">
      <c r="A31" s="9"/>
      <c r="B31" s="24"/>
      <c r="C31" s="24"/>
      <c r="D31" s="24" t="s">
        <v>75</v>
      </c>
      <c r="E31" s="25" t="s">
        <v>76</v>
      </c>
      <c r="F31" s="25"/>
      <c r="G31" s="25"/>
      <c r="H31" s="25"/>
      <c r="I31" s="25"/>
      <c r="J31" s="115"/>
      <c r="K31" s="28"/>
      <c r="L31" s="145">
        <f t="shared" ref="L31:S31" si="2">SUM(L32:L33)</f>
        <v>0</v>
      </c>
      <c r="M31" s="145">
        <f t="shared" si="2"/>
        <v>0</v>
      </c>
      <c r="N31" s="145">
        <f t="shared" si="2"/>
        <v>0</v>
      </c>
      <c r="O31" s="145">
        <f t="shared" si="2"/>
        <v>0</v>
      </c>
      <c r="P31" s="145">
        <f t="shared" si="2"/>
        <v>0</v>
      </c>
      <c r="Q31" s="145">
        <f t="shared" si="2"/>
        <v>0</v>
      </c>
      <c r="R31" s="145">
        <f t="shared" si="2"/>
        <v>0</v>
      </c>
      <c r="S31" s="145">
        <f t="shared" si="2"/>
        <v>0</v>
      </c>
    </row>
    <row r="32" spans="1:19" s="9" customFormat="1" ht="13.2">
      <c r="A32" s="31"/>
      <c r="B32" s="125"/>
      <c r="C32" s="125" t="str">
        <f>+IFERROR(VLOOKUP($B32, 'Services to Beneficiaries'!$B$7:$C$17, 2, 0), " ")</f>
        <v xml:space="preserve"> </v>
      </c>
      <c r="D32" s="32" t="s">
        <v>77</v>
      </c>
      <c r="E32" s="34"/>
      <c r="F32" s="34"/>
      <c r="G32" s="34"/>
      <c r="H32" s="34"/>
      <c r="I32" s="34"/>
      <c r="J32" s="116">
        <v>1</v>
      </c>
      <c r="K32" s="34">
        <v>0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  <c r="S32" s="128"/>
    </row>
    <row r="33" spans="1:19" s="9" customFormat="1" ht="13.2">
      <c r="A33" s="31"/>
      <c r="B33" s="125"/>
      <c r="C33" s="125" t="str">
        <f>+IFERROR(VLOOKUP($B33, 'Services to Beneficiaries'!$B$7:$C$17, 2, 0), " ")</f>
        <v xml:space="preserve"> </v>
      </c>
      <c r="D33" s="32" t="s">
        <v>78</v>
      </c>
      <c r="E33" s="34"/>
      <c r="F33" s="34"/>
      <c r="G33" s="34"/>
      <c r="H33" s="34"/>
      <c r="I33" s="34"/>
      <c r="J33" s="116">
        <v>1</v>
      </c>
      <c r="K33" s="34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/>
    </row>
    <row r="34" spans="1:19" s="10" customFormat="1" ht="13.2">
      <c r="A34" s="9"/>
      <c r="B34" s="24"/>
      <c r="C34" s="24"/>
      <c r="D34" s="24" t="s">
        <v>79</v>
      </c>
      <c r="E34" s="25" t="s">
        <v>80</v>
      </c>
      <c r="F34" s="25"/>
      <c r="G34" s="25"/>
      <c r="H34" s="25"/>
      <c r="I34" s="25"/>
      <c r="J34" s="115"/>
      <c r="K34" s="28"/>
      <c r="L34" s="145">
        <f t="shared" ref="L34:S34" si="3">SUM(L35:L36)</f>
        <v>0</v>
      </c>
      <c r="M34" s="145">
        <f t="shared" si="3"/>
        <v>0</v>
      </c>
      <c r="N34" s="145">
        <f t="shared" si="3"/>
        <v>0</v>
      </c>
      <c r="O34" s="145">
        <f t="shared" si="3"/>
        <v>0</v>
      </c>
      <c r="P34" s="145">
        <f t="shared" si="3"/>
        <v>0</v>
      </c>
      <c r="Q34" s="145">
        <f t="shared" si="3"/>
        <v>0</v>
      </c>
      <c r="R34" s="145">
        <f t="shared" si="3"/>
        <v>0</v>
      </c>
      <c r="S34" s="145">
        <f t="shared" si="3"/>
        <v>0</v>
      </c>
    </row>
    <row r="35" spans="1:19" s="9" customFormat="1" ht="13.2">
      <c r="A35" s="31"/>
      <c r="B35" s="125"/>
      <c r="C35" s="125" t="str">
        <f>+IFERROR(VLOOKUP($B35, 'Services to Beneficiaries'!$B$7:$C$17, 2, 0), " ")</f>
        <v xml:space="preserve"> </v>
      </c>
      <c r="D35" s="32" t="s">
        <v>81</v>
      </c>
      <c r="E35" s="34"/>
      <c r="F35" s="34"/>
      <c r="G35" s="34"/>
      <c r="H35" s="34"/>
      <c r="I35" s="34"/>
      <c r="J35" s="116"/>
      <c r="K35" s="34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/>
    </row>
    <row r="36" spans="1:19" s="9" customFormat="1" ht="13.2">
      <c r="A36" s="31"/>
      <c r="B36" s="125"/>
      <c r="C36" s="125" t="str">
        <f>+IFERROR(VLOOKUP($B36, 'Services to Beneficiaries'!$B$7:$C$17, 2, 0), " ")</f>
        <v xml:space="preserve"> </v>
      </c>
      <c r="D36" s="32" t="s">
        <v>82</v>
      </c>
      <c r="E36" s="34"/>
      <c r="F36" s="34"/>
      <c r="G36" s="34"/>
      <c r="H36" s="34"/>
      <c r="I36" s="34"/>
      <c r="J36" s="116"/>
      <c r="K36" s="34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/>
    </row>
    <row r="37" spans="1:19" s="10" customFormat="1" ht="13.2">
      <c r="A37" s="9"/>
      <c r="B37" s="24"/>
      <c r="C37" s="24"/>
      <c r="D37" s="24" t="s">
        <v>83</v>
      </c>
      <c r="E37" s="25" t="s">
        <v>84</v>
      </c>
      <c r="F37" s="25"/>
      <c r="G37" s="25"/>
      <c r="H37" s="25"/>
      <c r="I37" s="25"/>
      <c r="J37" s="115"/>
      <c r="K37" s="28"/>
      <c r="L37" s="145">
        <f t="shared" ref="L37:S37" si="4">SUM(L38:L39)</f>
        <v>0</v>
      </c>
      <c r="M37" s="145">
        <f t="shared" si="4"/>
        <v>0</v>
      </c>
      <c r="N37" s="145">
        <f t="shared" si="4"/>
        <v>0</v>
      </c>
      <c r="O37" s="145">
        <f t="shared" si="4"/>
        <v>0</v>
      </c>
      <c r="P37" s="145">
        <f t="shared" si="4"/>
        <v>0</v>
      </c>
      <c r="Q37" s="145">
        <f t="shared" si="4"/>
        <v>0</v>
      </c>
      <c r="R37" s="145">
        <f t="shared" si="4"/>
        <v>0</v>
      </c>
      <c r="S37" s="145">
        <f t="shared" si="4"/>
        <v>0</v>
      </c>
    </row>
    <row r="38" spans="1:19" s="9" customFormat="1" ht="13.2">
      <c r="A38" s="31"/>
      <c r="B38" s="125"/>
      <c r="C38" s="125" t="str">
        <f>+IFERROR(VLOOKUP($B38, 'Services to Beneficiaries'!$B$7:$C$17, 2, 0), " ")</f>
        <v xml:space="preserve"> </v>
      </c>
      <c r="D38" s="32" t="s">
        <v>85</v>
      </c>
      <c r="E38" s="34"/>
      <c r="F38" s="34"/>
      <c r="G38" s="34"/>
      <c r="H38" s="34"/>
      <c r="I38" s="34"/>
      <c r="J38" s="116"/>
      <c r="K38" s="34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/>
    </row>
    <row r="39" spans="1:19" s="9" customFormat="1" ht="13.2">
      <c r="A39" s="31"/>
      <c r="B39" s="125"/>
      <c r="C39" s="125" t="str">
        <f>+IFERROR(VLOOKUP($B39, 'Services to Beneficiaries'!$B$7:$C$17, 2, 0), " ")</f>
        <v xml:space="preserve"> </v>
      </c>
      <c r="D39" s="32" t="s">
        <v>86</v>
      </c>
      <c r="E39" s="34"/>
      <c r="F39" s="34"/>
      <c r="G39" s="34"/>
      <c r="H39" s="34"/>
      <c r="I39" s="34"/>
      <c r="J39" s="116"/>
      <c r="K39" s="34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/>
    </row>
    <row r="40" spans="1:19" s="5" customFormat="1" ht="15.6">
      <c r="B40" s="6"/>
      <c r="C40" s="6"/>
      <c r="D40" s="6" t="s">
        <v>87</v>
      </c>
      <c r="E40" s="7" t="s">
        <v>88</v>
      </c>
      <c r="F40" s="7"/>
      <c r="G40" s="7"/>
      <c r="H40" s="7"/>
      <c r="I40" s="7"/>
      <c r="J40" s="113"/>
      <c r="K40" s="22"/>
      <c r="L40" s="144">
        <f t="shared" ref="L40:S40" si="5">SUM(L41,L62,L68)</f>
        <v>328434.05796516861</v>
      </c>
      <c r="M40" s="144">
        <f t="shared" si="5"/>
        <v>65686.811593033708</v>
      </c>
      <c r="N40" s="144">
        <f t="shared" si="5"/>
        <v>65686.811593033708</v>
      </c>
      <c r="O40" s="144">
        <f t="shared" si="5"/>
        <v>65686.811593033708</v>
      </c>
      <c r="P40" s="144">
        <f t="shared" si="5"/>
        <v>65686.811593033708</v>
      </c>
      <c r="Q40" s="144">
        <f t="shared" si="5"/>
        <v>65686.811593033708</v>
      </c>
      <c r="R40" s="144">
        <f t="shared" si="5"/>
        <v>164217.02898258431</v>
      </c>
      <c r="S40" s="144">
        <f t="shared" si="5"/>
        <v>164217.02898258431</v>
      </c>
    </row>
    <row r="41" spans="1:19" s="10" customFormat="1" ht="13.2">
      <c r="A41" s="9"/>
      <c r="B41" s="24"/>
      <c r="C41" s="24"/>
      <c r="D41" s="24" t="s">
        <v>89</v>
      </c>
      <c r="E41" s="25" t="s">
        <v>90</v>
      </c>
      <c r="F41" s="25"/>
      <c r="G41" s="25"/>
      <c r="H41" s="25"/>
      <c r="I41" s="25"/>
      <c r="J41" s="115"/>
      <c r="K41" s="28"/>
      <c r="L41" s="145">
        <f t="shared" ref="L41:S41" si="6">SUM(L42,L47)</f>
        <v>265351.47444116004</v>
      </c>
      <c r="M41" s="145">
        <f t="shared" si="6"/>
        <v>53070.294888232005</v>
      </c>
      <c r="N41" s="145">
        <f t="shared" si="6"/>
        <v>53070.294888232005</v>
      </c>
      <c r="O41" s="145">
        <f t="shared" si="6"/>
        <v>53070.294888232005</v>
      </c>
      <c r="P41" s="145">
        <f t="shared" si="6"/>
        <v>53070.294888232005</v>
      </c>
      <c r="Q41" s="145">
        <f t="shared" si="6"/>
        <v>53070.294888232005</v>
      </c>
      <c r="R41" s="145">
        <f t="shared" si="6"/>
        <v>132675.73722058002</v>
      </c>
      <c r="S41" s="145">
        <f t="shared" si="6"/>
        <v>132675.73722058002</v>
      </c>
    </row>
    <row r="42" spans="1:19" s="39" customFormat="1" ht="13.2">
      <c r="B42" s="40"/>
      <c r="C42" s="40"/>
      <c r="D42" s="40" t="s">
        <v>91</v>
      </c>
      <c r="E42" s="40" t="s">
        <v>92</v>
      </c>
      <c r="F42" s="40"/>
      <c r="G42" s="40"/>
      <c r="H42" s="40"/>
      <c r="I42" s="40"/>
      <c r="J42" s="118"/>
      <c r="K42" s="40"/>
      <c r="L42" s="146">
        <f t="shared" ref="L42:S42" si="7">SUM(L43:L46)</f>
        <v>194960.58125761294</v>
      </c>
      <c r="M42" s="146">
        <f t="shared" si="7"/>
        <v>38992.116251522588</v>
      </c>
      <c r="N42" s="146">
        <f t="shared" si="7"/>
        <v>38992.116251522588</v>
      </c>
      <c r="O42" s="146">
        <f t="shared" si="7"/>
        <v>38992.116251522588</v>
      </c>
      <c r="P42" s="146">
        <f t="shared" si="7"/>
        <v>38992.116251522588</v>
      </c>
      <c r="Q42" s="146">
        <f t="shared" si="7"/>
        <v>38992.116251522588</v>
      </c>
      <c r="R42" s="146">
        <f t="shared" si="7"/>
        <v>97480.29062880647</v>
      </c>
      <c r="S42" s="146">
        <f t="shared" si="7"/>
        <v>97480.29062880647</v>
      </c>
    </row>
    <row r="43" spans="1:19" s="9" customFormat="1" ht="20.399999999999999" customHeight="1">
      <c r="A43" s="31"/>
      <c r="B43" s="125"/>
      <c r="C43" s="125" t="str">
        <f>+IFERROR(VLOOKUP($B43, 'Services to Beneficiaries'!$B$7:$C$17, 2, 0), " ")</f>
        <v xml:space="preserve"> </v>
      </c>
      <c r="D43" s="32" t="s">
        <v>93</v>
      </c>
      <c r="E43" s="34" t="s">
        <v>94</v>
      </c>
      <c r="F43" s="34">
        <v>1</v>
      </c>
      <c r="G43" s="34" t="s">
        <v>95</v>
      </c>
      <c r="H43" s="34">
        <v>24</v>
      </c>
      <c r="I43" s="34" t="s">
        <v>96</v>
      </c>
      <c r="J43" s="116">
        <v>1</v>
      </c>
      <c r="K43" s="119">
        <v>2650.5334953358224</v>
      </c>
      <c r="L43" s="134">
        <v>63612.803888059738</v>
      </c>
      <c r="M43" s="128">
        <v>12722.560777611947</v>
      </c>
      <c r="N43" s="128">
        <v>12722.560777611947</v>
      </c>
      <c r="O43" s="128">
        <v>12722.560777611947</v>
      </c>
      <c r="P43" s="128">
        <v>12722.560777611947</v>
      </c>
      <c r="Q43" s="128">
        <v>12722.560777611947</v>
      </c>
      <c r="R43" s="128">
        <v>31806.401944029869</v>
      </c>
      <c r="S43" s="128">
        <v>31806.401944029869</v>
      </c>
    </row>
    <row r="44" spans="1:19" s="9" customFormat="1" ht="20.100000000000001" customHeight="1">
      <c r="A44" s="31"/>
      <c r="B44" s="125"/>
      <c r="C44" s="125" t="str">
        <f>+IFERROR(VLOOKUP($B44, 'Services to Beneficiaries'!$B$7:$C$17, 2, 0), " ")</f>
        <v xml:space="preserve"> </v>
      </c>
      <c r="D44" s="32" t="s">
        <v>97</v>
      </c>
      <c r="E44" s="34" t="s">
        <v>98</v>
      </c>
      <c r="F44" s="34">
        <v>1</v>
      </c>
      <c r="G44" s="34" t="s">
        <v>95</v>
      </c>
      <c r="H44" s="34">
        <v>24</v>
      </c>
      <c r="I44" s="34" t="s">
        <v>96</v>
      </c>
      <c r="J44" s="116">
        <v>1</v>
      </c>
      <c r="K44" s="119">
        <v>1826.7416919096831</v>
      </c>
      <c r="L44" s="134">
        <v>43841.800605832395</v>
      </c>
      <c r="M44" s="128">
        <v>8768.3601211664791</v>
      </c>
      <c r="N44" s="128">
        <v>8768.3601211664791</v>
      </c>
      <c r="O44" s="128">
        <v>8768.3601211664791</v>
      </c>
      <c r="P44" s="128">
        <v>8768.3601211664791</v>
      </c>
      <c r="Q44" s="128">
        <v>8768.3601211664791</v>
      </c>
      <c r="R44" s="128">
        <v>21920.900302916198</v>
      </c>
      <c r="S44" s="128">
        <v>21920.900302916198</v>
      </c>
    </row>
    <row r="45" spans="1:19" s="9" customFormat="1" ht="18.600000000000001" customHeight="1">
      <c r="A45" s="31"/>
      <c r="B45" s="125"/>
      <c r="C45" s="125" t="str">
        <f>+IFERROR(VLOOKUP($B45, 'Services to Beneficiaries'!$B$7:$C$17, 2, 0), " ")</f>
        <v xml:space="preserve"> </v>
      </c>
      <c r="D45" s="32" t="s">
        <v>99</v>
      </c>
      <c r="E45" s="34" t="s">
        <v>100</v>
      </c>
      <c r="F45" s="34">
        <v>1</v>
      </c>
      <c r="G45" s="34" t="s">
        <v>95</v>
      </c>
      <c r="H45" s="34">
        <v>24</v>
      </c>
      <c r="I45" s="34" t="s">
        <v>96</v>
      </c>
      <c r="J45" s="116">
        <v>1</v>
      </c>
      <c r="K45" s="119">
        <v>1826.7416919096831</v>
      </c>
      <c r="L45" s="134">
        <v>43841.800605832395</v>
      </c>
      <c r="M45" s="128">
        <v>8768.3601211664791</v>
      </c>
      <c r="N45" s="128">
        <v>8768.3601211664791</v>
      </c>
      <c r="O45" s="128">
        <v>8768.3601211664791</v>
      </c>
      <c r="P45" s="128">
        <v>8768.3601211664791</v>
      </c>
      <c r="Q45" s="128">
        <v>8768.3601211664791</v>
      </c>
      <c r="R45" s="128">
        <v>21920.900302916198</v>
      </c>
      <c r="S45" s="128">
        <v>21920.900302916198</v>
      </c>
    </row>
    <row r="46" spans="1:19" s="9" customFormat="1" ht="17.399999999999999" customHeight="1">
      <c r="A46" s="31"/>
      <c r="B46" s="125"/>
      <c r="C46" s="125" t="str">
        <f>+IFERROR(VLOOKUP($B46, 'Services to Beneficiaries'!$B$7:$C$17, 2, 0), " ")</f>
        <v xml:space="preserve"> </v>
      </c>
      <c r="D46" s="32" t="s">
        <v>101</v>
      </c>
      <c r="E46" s="34" t="s">
        <v>102</v>
      </c>
      <c r="F46" s="34">
        <v>1</v>
      </c>
      <c r="G46" s="34" t="s">
        <v>95</v>
      </c>
      <c r="H46" s="34">
        <v>22</v>
      </c>
      <c r="I46" s="34" t="s">
        <v>96</v>
      </c>
      <c r="J46" s="116">
        <v>1</v>
      </c>
      <c r="K46" s="119">
        <v>1984.7352799040182</v>
      </c>
      <c r="L46" s="134">
        <v>43664.176157888403</v>
      </c>
      <c r="M46" s="128">
        <v>8732.835231577681</v>
      </c>
      <c r="N46" s="128">
        <v>8732.835231577681</v>
      </c>
      <c r="O46" s="128">
        <v>8732.835231577681</v>
      </c>
      <c r="P46" s="128">
        <v>8732.835231577681</v>
      </c>
      <c r="Q46" s="128">
        <v>8732.835231577681</v>
      </c>
      <c r="R46" s="128">
        <v>21832.088078944202</v>
      </c>
      <c r="S46" s="128">
        <v>21832.088078944202</v>
      </c>
    </row>
    <row r="47" spans="1:19" s="39" customFormat="1" ht="18.600000000000001" customHeight="1">
      <c r="B47" s="40"/>
      <c r="C47" s="40"/>
      <c r="D47" s="40" t="s">
        <v>103</v>
      </c>
      <c r="E47" s="40" t="s">
        <v>104</v>
      </c>
      <c r="F47" s="40"/>
      <c r="G47" s="40"/>
      <c r="H47" s="40"/>
      <c r="I47" s="40"/>
      <c r="J47" s="118"/>
      <c r="K47" s="40"/>
      <c r="L47" s="146">
        <f t="shared" ref="L47:S47" si="8">SUM(L48:L61)</f>
        <v>70390.893183547101</v>
      </c>
      <c r="M47" s="146">
        <f t="shared" si="8"/>
        <v>14078.178636709419</v>
      </c>
      <c r="N47" s="146">
        <f t="shared" si="8"/>
        <v>14078.178636709419</v>
      </c>
      <c r="O47" s="146">
        <f t="shared" si="8"/>
        <v>14078.178636709419</v>
      </c>
      <c r="P47" s="146">
        <f t="shared" si="8"/>
        <v>14078.178636709419</v>
      </c>
      <c r="Q47" s="146">
        <f t="shared" si="8"/>
        <v>14078.178636709419</v>
      </c>
      <c r="R47" s="146">
        <f t="shared" si="8"/>
        <v>35195.446591773551</v>
      </c>
      <c r="S47" s="146">
        <f t="shared" si="8"/>
        <v>35195.446591773551</v>
      </c>
    </row>
    <row r="48" spans="1:19" s="9" customFormat="1" ht="23.4" customHeight="1">
      <c r="A48" s="31"/>
      <c r="B48" s="125"/>
      <c r="C48" s="125" t="str">
        <f>+IFERROR(VLOOKUP($B48, 'Services to Beneficiaries'!$B$7:$C$17, 2, 0), " ")</f>
        <v xml:space="preserve"> </v>
      </c>
      <c r="D48" s="32" t="s">
        <v>105</v>
      </c>
      <c r="E48" s="34" t="s">
        <v>106</v>
      </c>
      <c r="F48" s="34">
        <v>1</v>
      </c>
      <c r="G48" s="34" t="s">
        <v>95</v>
      </c>
      <c r="H48" s="34">
        <v>24</v>
      </c>
      <c r="I48" s="34" t="s">
        <v>96</v>
      </c>
      <c r="J48" s="116">
        <v>0.05</v>
      </c>
      <c r="K48" s="119">
        <v>8350.0671537920934</v>
      </c>
      <c r="L48" s="128">
        <v>10020.080584550513</v>
      </c>
      <c r="M48" s="128">
        <v>2004.0161169101025</v>
      </c>
      <c r="N48" s="128">
        <v>2004.0161169101025</v>
      </c>
      <c r="O48" s="128">
        <v>2004.0161169101025</v>
      </c>
      <c r="P48" s="128">
        <v>2004.0161169101025</v>
      </c>
      <c r="Q48" s="128">
        <v>2004.0161169101025</v>
      </c>
      <c r="R48" s="128">
        <v>5010.0402922752564</v>
      </c>
      <c r="S48" s="128">
        <v>5010.0402922752564</v>
      </c>
    </row>
    <row r="49" spans="1:19" s="9" customFormat="1" ht="24.9" customHeight="1">
      <c r="A49" s="31"/>
      <c r="B49" s="125"/>
      <c r="C49" s="125" t="str">
        <f>+IFERROR(VLOOKUP($B49, 'Services to Beneficiaries'!$B$7:$C$17, 2, 0), " ")</f>
        <v xml:space="preserve"> </v>
      </c>
      <c r="D49" s="32" t="s">
        <v>107</v>
      </c>
      <c r="E49" s="34" t="s">
        <v>108</v>
      </c>
      <c r="F49" s="34">
        <v>1</v>
      </c>
      <c r="G49" s="34" t="s">
        <v>95</v>
      </c>
      <c r="H49" s="34">
        <v>24</v>
      </c>
      <c r="I49" s="34" t="s">
        <v>96</v>
      </c>
      <c r="J49" s="116">
        <v>7.0000000000000007E-2</v>
      </c>
      <c r="K49" s="119">
        <v>3164.3141242489983</v>
      </c>
      <c r="L49" s="128">
        <v>5316.0477287383173</v>
      </c>
      <c r="M49" s="128">
        <v>1063.2095457476635</v>
      </c>
      <c r="N49" s="128">
        <v>1063.2095457476635</v>
      </c>
      <c r="O49" s="128">
        <v>1063.2095457476635</v>
      </c>
      <c r="P49" s="128">
        <v>1063.2095457476635</v>
      </c>
      <c r="Q49" s="128">
        <v>1063.2095457476635</v>
      </c>
      <c r="R49" s="126">
        <v>2658.0238643691587</v>
      </c>
      <c r="S49" s="126">
        <v>2658.0238643691587</v>
      </c>
    </row>
    <row r="50" spans="1:19" s="9" customFormat="1" ht="23.4" customHeight="1">
      <c r="A50" s="31"/>
      <c r="B50" s="125"/>
      <c r="C50" s="125" t="str">
        <f>+IFERROR(VLOOKUP($B50, 'Services to Beneficiaries'!$B$7:$C$17, 2, 0), " ")</f>
        <v xml:space="preserve"> </v>
      </c>
      <c r="D50" s="32" t="s">
        <v>109</v>
      </c>
      <c r="E50" s="34" t="s">
        <v>110</v>
      </c>
      <c r="F50" s="34">
        <v>1</v>
      </c>
      <c r="G50" s="34" t="s">
        <v>95</v>
      </c>
      <c r="H50" s="34">
        <v>24</v>
      </c>
      <c r="I50" s="34" t="s">
        <v>96</v>
      </c>
      <c r="J50" s="116">
        <v>0.05</v>
      </c>
      <c r="K50" s="119">
        <v>3324.8078761260267</v>
      </c>
      <c r="L50" s="128">
        <v>3989.769451351232</v>
      </c>
      <c r="M50" s="128">
        <v>797.95389027024635</v>
      </c>
      <c r="N50" s="128">
        <v>797.95389027024635</v>
      </c>
      <c r="O50" s="128">
        <v>797.95389027024635</v>
      </c>
      <c r="P50" s="128">
        <v>797.95389027024635</v>
      </c>
      <c r="Q50" s="128">
        <v>797.95389027024635</v>
      </c>
      <c r="R50" s="126">
        <v>1994.884725675616</v>
      </c>
      <c r="S50" s="126">
        <v>1994.884725675616</v>
      </c>
    </row>
    <row r="51" spans="1:19" s="9" customFormat="1" ht="20.100000000000001" customHeight="1">
      <c r="A51" s="31"/>
      <c r="B51" s="125"/>
      <c r="C51" s="125" t="str">
        <f>+IFERROR(VLOOKUP($B51, 'Services to Beneficiaries'!$B$7:$C$17, 2, 0), " ")</f>
        <v xml:space="preserve"> </v>
      </c>
      <c r="D51" s="32" t="s">
        <v>111</v>
      </c>
      <c r="E51" s="34" t="s">
        <v>112</v>
      </c>
      <c r="F51" s="34">
        <v>1</v>
      </c>
      <c r="G51" s="34" t="s">
        <v>95</v>
      </c>
      <c r="H51" s="34">
        <v>24</v>
      </c>
      <c r="I51" s="34" t="s">
        <v>96</v>
      </c>
      <c r="J51" s="116">
        <v>0.05</v>
      </c>
      <c r="K51" s="119">
        <v>5166.5962860370419</v>
      </c>
      <c r="L51" s="128">
        <v>6199.9155432444513</v>
      </c>
      <c r="M51" s="128">
        <v>1239.9831086488903</v>
      </c>
      <c r="N51" s="128">
        <v>1239.9831086488903</v>
      </c>
      <c r="O51" s="128">
        <v>1239.9831086488903</v>
      </c>
      <c r="P51" s="128">
        <v>1239.9831086488903</v>
      </c>
      <c r="Q51" s="128">
        <v>1239.9831086488903</v>
      </c>
      <c r="R51" s="126">
        <v>3099.9577716222257</v>
      </c>
      <c r="S51" s="126">
        <v>3099.9577716222257</v>
      </c>
    </row>
    <row r="52" spans="1:19" s="9" customFormat="1" ht="35.1" customHeight="1">
      <c r="A52" s="31"/>
      <c r="B52" s="125"/>
      <c r="C52" s="125" t="str">
        <f>+IFERROR(VLOOKUP($B52, 'Services to Beneficiaries'!$B$7:$C$17, 2, 0), " ")</f>
        <v xml:space="preserve"> </v>
      </c>
      <c r="D52" s="32" t="s">
        <v>113</v>
      </c>
      <c r="E52" s="34" t="s">
        <v>114</v>
      </c>
      <c r="F52" s="34">
        <v>1</v>
      </c>
      <c r="G52" s="34" t="s">
        <v>95</v>
      </c>
      <c r="H52" s="34">
        <v>24</v>
      </c>
      <c r="I52" s="34" t="s">
        <v>96</v>
      </c>
      <c r="J52" s="116">
        <v>0.05</v>
      </c>
      <c r="K52" s="119">
        <v>3412.3410528434028</v>
      </c>
      <c r="L52" s="128">
        <v>4094.809263412084</v>
      </c>
      <c r="M52" s="128">
        <v>818.96185268241675</v>
      </c>
      <c r="N52" s="128">
        <v>818.96185268241675</v>
      </c>
      <c r="O52" s="128">
        <v>818.96185268241675</v>
      </c>
      <c r="P52" s="128">
        <v>818.96185268241675</v>
      </c>
      <c r="Q52" s="128">
        <v>818.96185268241675</v>
      </c>
      <c r="R52" s="126">
        <v>2047.404631706042</v>
      </c>
      <c r="S52" s="126">
        <v>2047.404631706042</v>
      </c>
    </row>
    <row r="53" spans="1:19" s="9" customFormat="1" ht="35.1" customHeight="1">
      <c r="A53" s="31"/>
      <c r="B53" s="125"/>
      <c r="C53" s="125" t="str">
        <f>+IFERROR(VLOOKUP($B53, 'Services to Beneficiaries'!$B$7:$C$17, 2, 0), " ")</f>
        <v xml:space="preserve"> </v>
      </c>
      <c r="D53" s="32" t="s">
        <v>115</v>
      </c>
      <c r="E53" s="34" t="s">
        <v>116</v>
      </c>
      <c r="F53" s="34">
        <v>1</v>
      </c>
      <c r="G53" s="34" t="s">
        <v>95</v>
      </c>
      <c r="H53" s="34">
        <v>24</v>
      </c>
      <c r="I53" s="34" t="s">
        <v>96</v>
      </c>
      <c r="J53" s="116">
        <v>0.05</v>
      </c>
      <c r="K53" s="119">
        <v>3089.2177383578496</v>
      </c>
      <c r="L53" s="128">
        <v>3707.06128602942</v>
      </c>
      <c r="M53" s="128">
        <v>741.41225720588398</v>
      </c>
      <c r="N53" s="128">
        <v>741.41225720588398</v>
      </c>
      <c r="O53" s="128">
        <v>741.41225720588398</v>
      </c>
      <c r="P53" s="128">
        <v>741.41225720588398</v>
      </c>
      <c r="Q53" s="128">
        <v>741.41225720588398</v>
      </c>
      <c r="R53" s="126">
        <v>1853.53064301471</v>
      </c>
      <c r="S53" s="126">
        <v>1853.53064301471</v>
      </c>
    </row>
    <row r="54" spans="1:19" s="9" customFormat="1" ht="35.1" customHeight="1">
      <c r="A54" s="31"/>
      <c r="B54" s="125"/>
      <c r="C54" s="125" t="str">
        <f>+IFERROR(VLOOKUP($B54, 'Services to Beneficiaries'!$B$7:$C$17, 2, 0), " ")</f>
        <v xml:space="preserve"> </v>
      </c>
      <c r="D54" s="32" t="s">
        <v>117</v>
      </c>
      <c r="E54" s="34" t="s">
        <v>118</v>
      </c>
      <c r="F54" s="34">
        <v>1</v>
      </c>
      <c r="G54" s="34" t="s">
        <v>95</v>
      </c>
      <c r="H54" s="34">
        <v>24</v>
      </c>
      <c r="I54" s="34" t="s">
        <v>96</v>
      </c>
      <c r="J54" s="116">
        <v>0.05</v>
      </c>
      <c r="K54" s="119">
        <v>2655.4286332793154</v>
      </c>
      <c r="L54" s="128">
        <v>3186.5143599351791</v>
      </c>
      <c r="M54" s="128">
        <v>637.30287198703581</v>
      </c>
      <c r="N54" s="128">
        <v>637.30287198703581</v>
      </c>
      <c r="O54" s="128">
        <v>637.30287198703581</v>
      </c>
      <c r="P54" s="128">
        <v>637.30287198703581</v>
      </c>
      <c r="Q54" s="128">
        <v>637.30287198703581</v>
      </c>
      <c r="R54" s="126">
        <v>1593.2571799675895</v>
      </c>
      <c r="S54" s="126">
        <v>1593.2571799675895</v>
      </c>
    </row>
    <row r="55" spans="1:19" s="9" customFormat="1" ht="35.1" customHeight="1">
      <c r="A55" s="31"/>
      <c r="B55" s="125"/>
      <c r="C55" s="125" t="str">
        <f>+IFERROR(VLOOKUP($B55, 'Services to Beneficiaries'!$B$7:$C$17, 2, 0), " ")</f>
        <v xml:space="preserve"> </v>
      </c>
      <c r="D55" s="32" t="s">
        <v>119</v>
      </c>
      <c r="E55" s="34" t="s">
        <v>120</v>
      </c>
      <c r="F55" s="34">
        <v>1</v>
      </c>
      <c r="G55" s="34" t="s">
        <v>95</v>
      </c>
      <c r="H55" s="34">
        <v>24</v>
      </c>
      <c r="I55" s="34" t="s">
        <v>96</v>
      </c>
      <c r="J55" s="116">
        <v>0.05</v>
      </c>
      <c r="K55" s="119">
        <v>2867.1391569874245</v>
      </c>
      <c r="L55" s="128">
        <v>3440.56698838491</v>
      </c>
      <c r="M55" s="128">
        <v>688.113397676982</v>
      </c>
      <c r="N55" s="128">
        <v>688.113397676982</v>
      </c>
      <c r="O55" s="128">
        <v>688.113397676982</v>
      </c>
      <c r="P55" s="128">
        <v>688.113397676982</v>
      </c>
      <c r="Q55" s="128">
        <v>688.113397676982</v>
      </c>
      <c r="R55" s="126">
        <v>1720.283494192455</v>
      </c>
      <c r="S55" s="126">
        <v>1720.283494192455</v>
      </c>
    </row>
    <row r="56" spans="1:19" s="9" customFormat="1" ht="35.1" customHeight="1">
      <c r="A56" s="31"/>
      <c r="B56" s="125"/>
      <c r="C56" s="125" t="str">
        <f>+IFERROR(VLOOKUP($B56, 'Services to Beneficiaries'!$B$7:$C$17, 2, 0), " ")</f>
        <v xml:space="preserve"> </v>
      </c>
      <c r="D56" s="32" t="s">
        <v>121</v>
      </c>
      <c r="E56" s="34" t="s">
        <v>122</v>
      </c>
      <c r="F56" s="34">
        <v>1</v>
      </c>
      <c r="G56" s="34" t="s">
        <v>95</v>
      </c>
      <c r="H56" s="34">
        <v>24</v>
      </c>
      <c r="I56" s="34" t="s">
        <v>96</v>
      </c>
      <c r="J56" s="116">
        <v>0.05</v>
      </c>
      <c r="K56" s="119">
        <v>7214.2289814728711</v>
      </c>
      <c r="L56" s="128">
        <v>8657.074777767446</v>
      </c>
      <c r="M56" s="128">
        <v>1731.4149555534891</v>
      </c>
      <c r="N56" s="128">
        <v>1731.4149555534891</v>
      </c>
      <c r="O56" s="128">
        <v>1731.4149555534891</v>
      </c>
      <c r="P56" s="128">
        <v>1731.4149555534891</v>
      </c>
      <c r="Q56" s="128">
        <v>1731.4149555534891</v>
      </c>
      <c r="R56" s="126">
        <v>4328.537388883723</v>
      </c>
      <c r="S56" s="126">
        <v>4328.537388883723</v>
      </c>
    </row>
    <row r="57" spans="1:19" s="9" customFormat="1" ht="35.1" customHeight="1">
      <c r="A57" s="31"/>
      <c r="B57" s="125"/>
      <c r="C57" s="125" t="str">
        <f>+IFERROR(VLOOKUP($B57, 'Services to Beneficiaries'!$B$7:$C$17, 2, 0), " ")</f>
        <v xml:space="preserve"> </v>
      </c>
      <c r="D57" s="32" t="s">
        <v>123</v>
      </c>
      <c r="E57" s="34" t="s">
        <v>124</v>
      </c>
      <c r="F57" s="34">
        <v>1</v>
      </c>
      <c r="G57" s="34" t="s">
        <v>95</v>
      </c>
      <c r="H57" s="34">
        <v>24</v>
      </c>
      <c r="I57" s="34" t="s">
        <v>96</v>
      </c>
      <c r="J57" s="116">
        <v>0.05</v>
      </c>
      <c r="K57" s="119">
        <v>2567.6926993690136</v>
      </c>
      <c r="L57" s="128">
        <v>3081.2312392428166</v>
      </c>
      <c r="M57" s="128">
        <v>616.24624784856337</v>
      </c>
      <c r="N57" s="128">
        <v>616.24624784856337</v>
      </c>
      <c r="O57" s="128">
        <v>616.24624784856337</v>
      </c>
      <c r="P57" s="128">
        <v>616.24624784856337</v>
      </c>
      <c r="Q57" s="128">
        <v>616.24624784856337</v>
      </c>
      <c r="R57" s="126">
        <v>1540.6156196214083</v>
      </c>
      <c r="S57" s="126">
        <v>1540.6156196214083</v>
      </c>
    </row>
    <row r="58" spans="1:19" s="9" customFormat="1" ht="35.1" customHeight="1">
      <c r="A58" s="31"/>
      <c r="B58" s="125"/>
      <c r="C58" s="125" t="str">
        <f>+IFERROR(VLOOKUP($B58, 'Services to Beneficiaries'!$B$7:$C$17, 2, 0), " ")</f>
        <v xml:space="preserve"> </v>
      </c>
      <c r="D58" s="32" t="s">
        <v>125</v>
      </c>
      <c r="E58" s="34" t="s">
        <v>126</v>
      </c>
      <c r="F58" s="34">
        <v>1</v>
      </c>
      <c r="G58" s="34" t="s">
        <v>95</v>
      </c>
      <c r="H58" s="34">
        <v>24</v>
      </c>
      <c r="I58" s="34" t="s">
        <v>96</v>
      </c>
      <c r="J58" s="116">
        <v>0.05</v>
      </c>
      <c r="K58" s="119">
        <v>5166.5962860370419</v>
      </c>
      <c r="L58" s="128">
        <v>6199.9155432444513</v>
      </c>
      <c r="M58" s="128">
        <v>1239.9831086488903</v>
      </c>
      <c r="N58" s="128">
        <v>1239.9831086488903</v>
      </c>
      <c r="O58" s="128">
        <v>1239.9831086488903</v>
      </c>
      <c r="P58" s="128">
        <v>1239.9831086488903</v>
      </c>
      <c r="Q58" s="128">
        <v>1239.9831086488903</v>
      </c>
      <c r="R58" s="126">
        <v>3099.9577716222257</v>
      </c>
      <c r="S58" s="126">
        <v>3099.9577716222257</v>
      </c>
    </row>
    <row r="59" spans="1:19" s="9" customFormat="1" ht="35.1" customHeight="1">
      <c r="A59" s="31"/>
      <c r="B59" s="125"/>
      <c r="C59" s="125" t="str">
        <f>+IFERROR(VLOOKUP($B59, 'Services to Beneficiaries'!$B$7:$C$17, 2, 0), " ")</f>
        <v xml:space="preserve"> </v>
      </c>
      <c r="D59" s="32" t="s">
        <v>127</v>
      </c>
      <c r="E59" s="34" t="s">
        <v>128</v>
      </c>
      <c r="F59" s="34">
        <v>1</v>
      </c>
      <c r="G59" s="34" t="s">
        <v>95</v>
      </c>
      <c r="H59" s="34">
        <v>24</v>
      </c>
      <c r="I59" s="34" t="s">
        <v>96</v>
      </c>
      <c r="J59" s="116">
        <v>0.05</v>
      </c>
      <c r="K59" s="119">
        <v>5166.5947615468694</v>
      </c>
      <c r="L59" s="128">
        <v>6199.9137138562446</v>
      </c>
      <c r="M59" s="128">
        <v>1239.9827427712489</v>
      </c>
      <c r="N59" s="128">
        <v>1239.9827427712489</v>
      </c>
      <c r="O59" s="128">
        <v>1239.9827427712489</v>
      </c>
      <c r="P59" s="128">
        <v>1239.9827427712489</v>
      </c>
      <c r="Q59" s="128">
        <v>1239.9827427712489</v>
      </c>
      <c r="R59" s="126">
        <v>3099.9568569281223</v>
      </c>
      <c r="S59" s="126">
        <v>3099.9568569281223</v>
      </c>
    </row>
    <row r="60" spans="1:19" s="9" customFormat="1" ht="35.1" customHeight="1">
      <c r="A60" s="31"/>
      <c r="B60" s="125"/>
      <c r="C60" s="125" t="str">
        <f>+IFERROR(VLOOKUP($B60, 'Services to Beneficiaries'!$B$7:$C$17, 2, 0), " ")</f>
        <v xml:space="preserve"> </v>
      </c>
      <c r="D60" s="32" t="s">
        <v>129</v>
      </c>
      <c r="E60" s="34" t="s">
        <v>130</v>
      </c>
      <c r="F60" s="34">
        <v>1</v>
      </c>
      <c r="G60" s="34" t="s">
        <v>95</v>
      </c>
      <c r="H60" s="34">
        <v>24</v>
      </c>
      <c r="I60" s="34" t="s">
        <v>96</v>
      </c>
      <c r="J60" s="116">
        <v>0.05</v>
      </c>
      <c r="K60" s="119">
        <v>5248.3272531583625</v>
      </c>
      <c r="L60" s="128">
        <v>6297.9927037900361</v>
      </c>
      <c r="M60" s="128">
        <v>1259.5985407580072</v>
      </c>
      <c r="N60" s="128">
        <v>1259.5985407580072</v>
      </c>
      <c r="O60" s="128">
        <v>1259.5985407580072</v>
      </c>
      <c r="P60" s="128">
        <v>1259.5985407580072</v>
      </c>
      <c r="Q60" s="128">
        <v>1259.5985407580072</v>
      </c>
      <c r="R60" s="126">
        <v>3148.9963518950181</v>
      </c>
      <c r="S60" s="126">
        <v>3148.9963518950181</v>
      </c>
    </row>
    <row r="61" spans="1:19" s="9" customFormat="1" ht="16.2" customHeight="1">
      <c r="A61" s="31"/>
      <c r="B61" s="125"/>
      <c r="C61" s="125" t="str">
        <f>+IFERROR(VLOOKUP($B61, 'Services to Beneficiaries'!$B$7:$C$17, 2, 0), " ")</f>
        <v xml:space="preserve"> </v>
      </c>
      <c r="D61" s="32"/>
      <c r="E61" s="34"/>
      <c r="F61" s="34"/>
      <c r="G61" s="34"/>
      <c r="H61" s="34"/>
      <c r="I61" s="34"/>
      <c r="J61" s="116"/>
      <c r="K61" s="119"/>
      <c r="L61" s="128"/>
      <c r="M61" s="128"/>
      <c r="N61" s="128"/>
      <c r="O61" s="128"/>
      <c r="P61" s="128"/>
      <c r="Q61" s="128"/>
      <c r="R61" s="126"/>
      <c r="S61" s="126"/>
    </row>
    <row r="62" spans="1:19" s="10" customFormat="1" ht="35.1" customHeight="1">
      <c r="A62" s="9"/>
      <c r="B62" s="24"/>
      <c r="C62" s="24"/>
      <c r="D62" s="24" t="s">
        <v>131</v>
      </c>
      <c r="E62" s="25" t="s">
        <v>132</v>
      </c>
      <c r="F62" s="25"/>
      <c r="G62" s="25"/>
      <c r="H62" s="25"/>
      <c r="I62" s="25"/>
      <c r="J62" s="115"/>
      <c r="K62" s="28"/>
      <c r="L62" s="145">
        <f t="shared" ref="L62:S62" si="9">SUM(L63,L66)</f>
        <v>10984.120605466518</v>
      </c>
      <c r="M62" s="145">
        <f t="shared" si="9"/>
        <v>2196.8241210933038</v>
      </c>
      <c r="N62" s="145">
        <f t="shared" si="9"/>
        <v>2196.8241210933038</v>
      </c>
      <c r="O62" s="145">
        <f t="shared" si="9"/>
        <v>2196.8241210933038</v>
      </c>
      <c r="P62" s="145">
        <f t="shared" si="9"/>
        <v>2196.8241210933038</v>
      </c>
      <c r="Q62" s="145">
        <f t="shared" si="9"/>
        <v>2196.8241210933038</v>
      </c>
      <c r="R62" s="145">
        <f t="shared" si="9"/>
        <v>5492.0603027332591</v>
      </c>
      <c r="S62" s="145">
        <f t="shared" si="9"/>
        <v>5492.0603027332591</v>
      </c>
    </row>
    <row r="63" spans="1:19" s="39" customFormat="1" ht="35.1" customHeight="1">
      <c r="B63" s="40"/>
      <c r="C63" s="40"/>
      <c r="D63" s="40" t="s">
        <v>133</v>
      </c>
      <c r="E63" s="40" t="s">
        <v>134</v>
      </c>
      <c r="F63" s="40"/>
      <c r="G63" s="40"/>
      <c r="H63" s="40"/>
      <c r="I63" s="40"/>
      <c r="J63" s="118"/>
      <c r="K63" s="40"/>
      <c r="L63" s="146">
        <f t="shared" ref="L63:S63" si="10">SUM(L64:L65)</f>
        <v>10984.120605466518</v>
      </c>
      <c r="M63" s="146">
        <f t="shared" si="10"/>
        <v>2196.8241210933038</v>
      </c>
      <c r="N63" s="146">
        <f t="shared" si="10"/>
        <v>2196.8241210933038</v>
      </c>
      <c r="O63" s="146">
        <f t="shared" si="10"/>
        <v>2196.8241210933038</v>
      </c>
      <c r="P63" s="146">
        <f t="shared" si="10"/>
        <v>2196.8241210933038</v>
      </c>
      <c r="Q63" s="146">
        <f t="shared" si="10"/>
        <v>2196.8241210933038</v>
      </c>
      <c r="R63" s="146">
        <f t="shared" si="10"/>
        <v>5492.0603027332591</v>
      </c>
      <c r="S63" s="146">
        <f t="shared" si="10"/>
        <v>5492.0603027332591</v>
      </c>
    </row>
    <row r="64" spans="1:19" s="9" customFormat="1" ht="35.1" customHeight="1">
      <c r="A64" s="31"/>
      <c r="B64" s="125"/>
      <c r="C64" s="125" t="str">
        <f>+IFERROR(VLOOKUP($B64, 'Services to Beneficiaries'!$B$7:$C$17, 2, 0), " ")</f>
        <v xml:space="preserve"> </v>
      </c>
      <c r="D64" s="32" t="s">
        <v>133</v>
      </c>
      <c r="E64" s="34" t="s">
        <v>135</v>
      </c>
      <c r="F64" s="34">
        <v>1</v>
      </c>
      <c r="G64" s="34" t="s">
        <v>95</v>
      </c>
      <c r="H64" s="34">
        <v>24</v>
      </c>
      <c r="I64" s="34" t="s">
        <v>96</v>
      </c>
      <c r="J64" s="116">
        <v>0.05</v>
      </c>
      <c r="K64" s="34">
        <v>9153.4338378887642</v>
      </c>
      <c r="L64" s="128">
        <v>10984.120605466518</v>
      </c>
      <c r="M64" s="128">
        <v>2196.8241210933038</v>
      </c>
      <c r="N64" s="128">
        <v>2196.8241210933038</v>
      </c>
      <c r="O64" s="128">
        <v>2196.8241210933038</v>
      </c>
      <c r="P64" s="128">
        <v>2196.8241210933038</v>
      </c>
      <c r="Q64" s="128">
        <v>2196.8241210933038</v>
      </c>
      <c r="R64" s="128">
        <v>5492.0603027332591</v>
      </c>
      <c r="S64" s="128">
        <v>5492.0603027332591</v>
      </c>
    </row>
    <row r="65" spans="1:22" s="9" customFormat="1" ht="35.1" customHeight="1">
      <c r="A65" s="31"/>
      <c r="B65" s="125"/>
      <c r="C65" s="125" t="str">
        <f>+IFERROR(VLOOKUP($B65, 'Services to Beneficiaries'!$B$7:$C$17, 2, 0), " ")</f>
        <v xml:space="preserve"> </v>
      </c>
      <c r="D65" s="32" t="s">
        <v>136</v>
      </c>
      <c r="E65" s="34"/>
      <c r="F65" s="34"/>
      <c r="G65" s="34"/>
      <c r="H65" s="34"/>
      <c r="I65" s="34"/>
      <c r="J65" s="116"/>
      <c r="K65" s="34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</row>
    <row r="66" spans="1:22" s="39" customFormat="1" ht="35.1" customHeight="1">
      <c r="B66" s="40"/>
      <c r="C66" s="40"/>
      <c r="D66" s="40" t="s">
        <v>137</v>
      </c>
      <c r="E66" s="40" t="s">
        <v>138</v>
      </c>
      <c r="F66" s="40"/>
      <c r="G66" s="40"/>
      <c r="H66" s="40"/>
      <c r="I66" s="40"/>
      <c r="J66" s="118"/>
      <c r="K66" s="40"/>
      <c r="L66" s="146">
        <f t="shared" ref="L66:S66" si="11">SUM(L67)</f>
        <v>0</v>
      </c>
      <c r="M66" s="146">
        <f t="shared" si="11"/>
        <v>0</v>
      </c>
      <c r="N66" s="146">
        <f t="shared" si="11"/>
        <v>0</v>
      </c>
      <c r="O66" s="146">
        <f t="shared" si="11"/>
        <v>0</v>
      </c>
      <c r="P66" s="146">
        <f t="shared" si="11"/>
        <v>0</v>
      </c>
      <c r="Q66" s="146">
        <f t="shared" si="11"/>
        <v>0</v>
      </c>
      <c r="R66" s="146">
        <f t="shared" si="11"/>
        <v>0</v>
      </c>
      <c r="S66" s="146">
        <f t="shared" si="11"/>
        <v>0</v>
      </c>
    </row>
    <row r="67" spans="1:22" s="9" customFormat="1" ht="35.1" customHeight="1">
      <c r="A67" s="31"/>
      <c r="B67" s="125"/>
      <c r="C67" s="125" t="str">
        <f>+IFERROR(VLOOKUP($B67, 'Services to Beneficiaries'!$B$7:$C$17, 2, 0), " ")</f>
        <v xml:space="preserve"> </v>
      </c>
      <c r="D67" s="32" t="s">
        <v>139</v>
      </c>
      <c r="E67" s="34"/>
      <c r="F67" s="34"/>
      <c r="G67" s="34"/>
      <c r="H67" s="34"/>
      <c r="I67" s="34"/>
      <c r="J67" s="116"/>
      <c r="K67" s="34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</row>
    <row r="68" spans="1:22" s="10" customFormat="1" ht="35.1" customHeight="1">
      <c r="A68" s="9"/>
      <c r="B68" s="24"/>
      <c r="C68" s="24"/>
      <c r="D68" s="24" t="s">
        <v>140</v>
      </c>
      <c r="E68" s="25" t="s">
        <v>141</v>
      </c>
      <c r="F68" s="25"/>
      <c r="G68" s="25"/>
      <c r="H68" s="25"/>
      <c r="I68" s="25"/>
      <c r="J68" s="115"/>
      <c r="K68" s="28"/>
      <c r="L68" s="145">
        <f t="shared" ref="L68:S68" si="12">SUM(L69,L73)</f>
        <v>52098.462918542005</v>
      </c>
      <c r="M68" s="145">
        <f t="shared" si="12"/>
        <v>10419.692583708398</v>
      </c>
      <c r="N68" s="145">
        <f t="shared" si="12"/>
        <v>10419.692583708398</v>
      </c>
      <c r="O68" s="145">
        <f t="shared" si="12"/>
        <v>10419.692583708398</v>
      </c>
      <c r="P68" s="145">
        <f t="shared" si="12"/>
        <v>10419.692583708398</v>
      </c>
      <c r="Q68" s="145">
        <f t="shared" si="12"/>
        <v>10419.692583708398</v>
      </c>
      <c r="R68" s="145">
        <f t="shared" si="12"/>
        <v>26049.231459271003</v>
      </c>
      <c r="S68" s="145">
        <f t="shared" si="12"/>
        <v>26049.231459271003</v>
      </c>
    </row>
    <row r="69" spans="1:22" s="39" customFormat="1" ht="35.1" customHeight="1">
      <c r="B69" s="40"/>
      <c r="C69" s="40"/>
      <c r="D69" s="40" t="s">
        <v>142</v>
      </c>
      <c r="E69" s="40" t="s">
        <v>143</v>
      </c>
      <c r="F69" s="40"/>
      <c r="G69" s="40"/>
      <c r="H69" s="40"/>
      <c r="I69" s="40"/>
      <c r="J69" s="118"/>
      <c r="K69" s="40"/>
      <c r="L69" s="146">
        <f t="shared" ref="L69:S69" si="13">SUM(L70:L72)</f>
        <v>34290.768918542002</v>
      </c>
      <c r="M69" s="146">
        <f t="shared" si="13"/>
        <v>6858.1537837083997</v>
      </c>
      <c r="N69" s="146">
        <f t="shared" si="13"/>
        <v>6858.1537837083997</v>
      </c>
      <c r="O69" s="146">
        <f t="shared" si="13"/>
        <v>6858.1537837083997</v>
      </c>
      <c r="P69" s="146">
        <f t="shared" si="13"/>
        <v>6858.1537837083997</v>
      </c>
      <c r="Q69" s="146">
        <f t="shared" si="13"/>
        <v>6858.1537837083997</v>
      </c>
      <c r="R69" s="146">
        <f t="shared" si="13"/>
        <v>17145.384459271001</v>
      </c>
      <c r="S69" s="146">
        <f t="shared" si="13"/>
        <v>17145.384459271001</v>
      </c>
    </row>
    <row r="70" spans="1:22" s="9" customFormat="1" ht="35.1" customHeight="1">
      <c r="A70" s="31"/>
      <c r="B70" s="125"/>
      <c r="C70" s="125" t="str">
        <f>+IFERROR(VLOOKUP($B70, 'Services to Beneficiaries'!$B$7:$C$17, 2, 0), " ")</f>
        <v xml:space="preserve"> </v>
      </c>
      <c r="D70" s="32" t="s">
        <v>142</v>
      </c>
      <c r="E70" s="34" t="s">
        <v>144</v>
      </c>
      <c r="F70" s="34">
        <v>1</v>
      </c>
      <c r="G70" s="34" t="s">
        <v>145</v>
      </c>
      <c r="H70" s="34">
        <v>15</v>
      </c>
      <c r="I70" s="34" t="s">
        <v>146</v>
      </c>
      <c r="J70" s="116">
        <v>0.08</v>
      </c>
      <c r="K70" s="34">
        <v>5051.82</v>
      </c>
      <c r="L70" s="128">
        <f>F70*H70*J70*K70</f>
        <v>6062.1839999999993</v>
      </c>
      <c r="M70" s="128">
        <f>$L70/5</f>
        <v>1212.4367999999999</v>
      </c>
      <c r="N70" s="128">
        <f t="shared" ref="N70:Q72" si="14">$L70/5</f>
        <v>1212.4367999999999</v>
      </c>
      <c r="O70" s="128">
        <f t="shared" si="14"/>
        <v>1212.4367999999999</v>
      </c>
      <c r="P70" s="128">
        <f t="shared" si="14"/>
        <v>1212.4367999999999</v>
      </c>
      <c r="Q70" s="128">
        <f t="shared" si="14"/>
        <v>1212.4367999999999</v>
      </c>
      <c r="R70" s="128">
        <f>$L70/2</f>
        <v>3031.0919999999996</v>
      </c>
      <c r="S70" s="128">
        <f>$L70/2</f>
        <v>3031.0919999999996</v>
      </c>
    </row>
    <row r="71" spans="1:22" s="9" customFormat="1" ht="35.1" customHeight="1">
      <c r="A71" s="31"/>
      <c r="B71" s="125"/>
      <c r="C71" s="125" t="str">
        <f>+IFERROR(VLOOKUP($B71, 'Services to Beneficiaries'!$B$7:$C$17, 2, 0), " ")</f>
        <v xml:space="preserve"> </v>
      </c>
      <c r="D71" s="32" t="s">
        <v>147</v>
      </c>
      <c r="E71" s="34" t="s">
        <v>148</v>
      </c>
      <c r="F71" s="34">
        <v>1</v>
      </c>
      <c r="G71" s="34" t="s">
        <v>145</v>
      </c>
      <c r="H71" s="34">
        <v>15</v>
      </c>
      <c r="I71" s="34" t="s">
        <v>146</v>
      </c>
      <c r="J71" s="116">
        <v>0.08</v>
      </c>
      <c r="K71" s="34">
        <v>4173.1499999999996</v>
      </c>
      <c r="L71" s="128">
        <f t="shared" ref="L71" si="15">F71*H71*J71*K71</f>
        <v>5007.78</v>
      </c>
      <c r="M71" s="128">
        <f t="shared" ref="M71:Q75" si="16">$L71/5</f>
        <v>1001.5559999999999</v>
      </c>
      <c r="N71" s="128">
        <f t="shared" si="14"/>
        <v>1001.5559999999999</v>
      </c>
      <c r="O71" s="128">
        <f t="shared" si="14"/>
        <v>1001.5559999999999</v>
      </c>
      <c r="P71" s="128">
        <f t="shared" si="14"/>
        <v>1001.5559999999999</v>
      </c>
      <c r="Q71" s="128">
        <f t="shared" si="14"/>
        <v>1001.5559999999999</v>
      </c>
      <c r="R71" s="128">
        <f t="shared" ref="R71:S75" si="17">$L71/2</f>
        <v>2503.89</v>
      </c>
      <c r="S71" s="128">
        <f t="shared" si="17"/>
        <v>2503.89</v>
      </c>
    </row>
    <row r="72" spans="1:22" s="9" customFormat="1" ht="35.1" customHeight="1">
      <c r="A72" s="31"/>
      <c r="B72" s="125"/>
      <c r="C72" s="125" t="str">
        <f>+IFERROR(VLOOKUP($B72, 'Services to Beneficiaries'!$B$7:$C$17, 2, 0), " ")</f>
        <v xml:space="preserve"> </v>
      </c>
      <c r="D72" s="32" t="s">
        <v>149</v>
      </c>
      <c r="E72" s="34" t="s">
        <v>150</v>
      </c>
      <c r="F72" s="34">
        <v>1</v>
      </c>
      <c r="G72" s="34" t="s">
        <v>145</v>
      </c>
      <c r="H72" s="34">
        <v>22</v>
      </c>
      <c r="I72" s="34" t="s">
        <v>146</v>
      </c>
      <c r="J72" s="116">
        <v>0.1766267</v>
      </c>
      <c r="K72" s="34">
        <v>5975.83</v>
      </c>
      <c r="L72" s="128">
        <f>F72*H72*J72*K72</f>
        <v>23220.804918541999</v>
      </c>
      <c r="M72" s="128">
        <f t="shared" si="16"/>
        <v>4644.1609837083997</v>
      </c>
      <c r="N72" s="128">
        <f t="shared" si="14"/>
        <v>4644.1609837083997</v>
      </c>
      <c r="O72" s="128">
        <f t="shared" si="14"/>
        <v>4644.1609837083997</v>
      </c>
      <c r="P72" s="128">
        <f t="shared" si="14"/>
        <v>4644.1609837083997</v>
      </c>
      <c r="Q72" s="128">
        <f t="shared" si="14"/>
        <v>4644.1609837083997</v>
      </c>
      <c r="R72" s="128">
        <f t="shared" si="17"/>
        <v>11610.402459270999</v>
      </c>
      <c r="S72" s="128">
        <f t="shared" si="17"/>
        <v>11610.402459270999</v>
      </c>
    </row>
    <row r="73" spans="1:22" s="39" customFormat="1" ht="35.1" customHeight="1">
      <c r="B73" s="40"/>
      <c r="C73" s="40"/>
      <c r="D73" s="40" t="s">
        <v>151</v>
      </c>
      <c r="E73" s="40" t="s">
        <v>152</v>
      </c>
      <c r="F73" s="40"/>
      <c r="G73" s="40"/>
      <c r="H73" s="40"/>
      <c r="I73" s="40"/>
      <c r="J73" s="118"/>
      <c r="K73" s="40"/>
      <c r="L73" s="146">
        <f t="shared" ref="L73:S73" si="18">SUM(L74:L75)</f>
        <v>17807.694</v>
      </c>
      <c r="M73" s="146">
        <f t="shared" si="18"/>
        <v>3561.5387999999994</v>
      </c>
      <c r="N73" s="146">
        <f t="shared" si="18"/>
        <v>3561.5387999999994</v>
      </c>
      <c r="O73" s="146">
        <f t="shared" si="18"/>
        <v>3561.5387999999994</v>
      </c>
      <c r="P73" s="146">
        <f t="shared" si="18"/>
        <v>3561.5387999999994</v>
      </c>
      <c r="Q73" s="146">
        <f t="shared" si="18"/>
        <v>3561.5387999999994</v>
      </c>
      <c r="R73" s="146">
        <f t="shared" si="18"/>
        <v>8903.8469999999998</v>
      </c>
      <c r="S73" s="146">
        <f t="shared" si="18"/>
        <v>8903.8469999999998</v>
      </c>
    </row>
    <row r="74" spans="1:22" s="123" customFormat="1" ht="35.1" customHeight="1">
      <c r="A74" s="124"/>
      <c r="B74" s="125"/>
      <c r="C74" s="125" t="str">
        <f>+IFERROR(VLOOKUP($B74, 'Services to Beneficiaries'!$B$7:$C$17, 2, 0), " ")</f>
        <v xml:space="preserve"> </v>
      </c>
      <c r="D74" s="125" t="s">
        <v>153</v>
      </c>
      <c r="E74" s="126" t="s">
        <v>154</v>
      </c>
      <c r="F74" s="126">
        <v>1</v>
      </c>
      <c r="G74" s="126" t="s">
        <v>145</v>
      </c>
      <c r="H74" s="126">
        <v>22</v>
      </c>
      <c r="I74" s="126" t="s">
        <v>146</v>
      </c>
      <c r="J74" s="127">
        <v>0.15</v>
      </c>
      <c r="K74" s="126">
        <v>4054.81</v>
      </c>
      <c r="L74" s="128">
        <f>F74*H74*J74*K74</f>
        <v>13380.873</v>
      </c>
      <c r="M74" s="128">
        <f t="shared" si="16"/>
        <v>2676.1745999999998</v>
      </c>
      <c r="N74" s="128">
        <f t="shared" si="16"/>
        <v>2676.1745999999998</v>
      </c>
      <c r="O74" s="128">
        <f t="shared" si="16"/>
        <v>2676.1745999999998</v>
      </c>
      <c r="P74" s="128">
        <f t="shared" si="16"/>
        <v>2676.1745999999998</v>
      </c>
      <c r="Q74" s="128">
        <f t="shared" si="16"/>
        <v>2676.1745999999998</v>
      </c>
      <c r="R74" s="128">
        <f t="shared" si="17"/>
        <v>6690.4364999999998</v>
      </c>
      <c r="S74" s="128">
        <f t="shared" si="17"/>
        <v>6690.4364999999998</v>
      </c>
    </row>
    <row r="75" spans="1:22" s="9" customFormat="1" ht="35.1" customHeight="1">
      <c r="A75" s="124"/>
      <c r="B75" s="125"/>
      <c r="C75" s="125" t="str">
        <f>+IFERROR(VLOOKUP($B75, 'Services to Beneficiaries'!$B$7:$C$17, 2, 0), " ")</f>
        <v xml:space="preserve"> </v>
      </c>
      <c r="D75" s="125" t="s">
        <v>155</v>
      </c>
      <c r="E75" s="126" t="s">
        <v>156</v>
      </c>
      <c r="F75" s="126">
        <v>1</v>
      </c>
      <c r="G75" s="126" t="s">
        <v>145</v>
      </c>
      <c r="H75" s="126">
        <v>15</v>
      </c>
      <c r="I75" s="126" t="s">
        <v>146</v>
      </c>
      <c r="J75" s="127">
        <v>0.06</v>
      </c>
      <c r="K75" s="126">
        <v>4918.6899999999996</v>
      </c>
      <c r="L75" s="128">
        <f>F75*H75*J75*K75</f>
        <v>4426.820999999999</v>
      </c>
      <c r="M75" s="128">
        <f t="shared" si="16"/>
        <v>885.36419999999976</v>
      </c>
      <c r="N75" s="128">
        <f t="shared" si="16"/>
        <v>885.36419999999976</v>
      </c>
      <c r="O75" s="128">
        <f t="shared" si="16"/>
        <v>885.36419999999976</v>
      </c>
      <c r="P75" s="128">
        <f t="shared" si="16"/>
        <v>885.36419999999976</v>
      </c>
      <c r="Q75" s="128">
        <f t="shared" si="16"/>
        <v>885.36419999999976</v>
      </c>
      <c r="R75" s="128">
        <f t="shared" si="17"/>
        <v>2213.4104999999995</v>
      </c>
      <c r="S75" s="128">
        <f t="shared" si="17"/>
        <v>2213.4104999999995</v>
      </c>
      <c r="T75" s="123"/>
      <c r="U75" s="123"/>
      <c r="V75" s="123"/>
    </row>
    <row r="76" spans="1:22" s="5" customFormat="1" ht="34.65" customHeight="1">
      <c r="B76" s="6"/>
      <c r="C76" s="6"/>
      <c r="D76" s="6" t="s">
        <v>157</v>
      </c>
      <c r="E76" s="7" t="s">
        <v>158</v>
      </c>
      <c r="F76" s="7"/>
      <c r="G76" s="7"/>
      <c r="H76" s="7"/>
      <c r="I76" s="7"/>
      <c r="J76" s="113"/>
      <c r="K76" s="22"/>
      <c r="L76" s="144">
        <f t="shared" ref="L76:S76" si="19">SUM(L77,L92,L106,L111,L121)</f>
        <v>131551.25143875284</v>
      </c>
      <c r="M76" s="144">
        <f t="shared" si="19"/>
        <v>26310.250287750569</v>
      </c>
      <c r="N76" s="144">
        <f t="shared" si="19"/>
        <v>26310.250287750569</v>
      </c>
      <c r="O76" s="144">
        <f t="shared" si="19"/>
        <v>26310.250287750569</v>
      </c>
      <c r="P76" s="144">
        <f t="shared" si="19"/>
        <v>26310.250287750569</v>
      </c>
      <c r="Q76" s="144">
        <f t="shared" si="19"/>
        <v>26310.250287750569</v>
      </c>
      <c r="R76" s="144">
        <f t="shared" si="19"/>
        <v>65775.625719376418</v>
      </c>
      <c r="S76" s="144">
        <f t="shared" si="19"/>
        <v>65775.625719376418</v>
      </c>
    </row>
    <row r="77" spans="1:22" s="10" customFormat="1" ht="35.1" customHeight="1">
      <c r="A77" s="9"/>
      <c r="B77" s="24"/>
      <c r="C77" s="24"/>
      <c r="D77" s="24" t="s">
        <v>159</v>
      </c>
      <c r="E77" s="25" t="s">
        <v>160</v>
      </c>
      <c r="F77" s="25"/>
      <c r="G77" s="25"/>
      <c r="H77" s="25"/>
      <c r="I77" s="25"/>
      <c r="J77" s="115"/>
      <c r="K77" s="30"/>
      <c r="L77" s="145">
        <f t="shared" ref="L77:S77" si="20">SUM(L78,L90)</f>
        <v>19869.332676989499</v>
      </c>
      <c r="M77" s="145">
        <f t="shared" si="20"/>
        <v>3973.8665353978995</v>
      </c>
      <c r="N77" s="145">
        <f t="shared" si="20"/>
        <v>3973.8665353978995</v>
      </c>
      <c r="O77" s="145">
        <f t="shared" si="20"/>
        <v>3973.8665353978995</v>
      </c>
      <c r="P77" s="145">
        <f t="shared" si="20"/>
        <v>3973.8665353978995</v>
      </c>
      <c r="Q77" s="145">
        <f t="shared" si="20"/>
        <v>3973.8665353978995</v>
      </c>
      <c r="R77" s="145">
        <f t="shared" si="20"/>
        <v>9934.6663384947497</v>
      </c>
      <c r="S77" s="145">
        <f t="shared" si="20"/>
        <v>9934.6663384947497</v>
      </c>
    </row>
    <row r="78" spans="1:22" s="39" customFormat="1" ht="35.1" customHeight="1">
      <c r="B78" s="40"/>
      <c r="C78" s="40"/>
      <c r="D78" s="40" t="s">
        <v>161</v>
      </c>
      <c r="E78" s="40" t="s">
        <v>162</v>
      </c>
      <c r="F78" s="40"/>
      <c r="G78" s="40"/>
      <c r="H78" s="40"/>
      <c r="I78" s="40"/>
      <c r="J78" s="118"/>
      <c r="K78" s="40"/>
      <c r="L78" s="146">
        <f t="shared" ref="L78:S78" si="21">SUM(L79:L89)</f>
        <v>18844.375713651963</v>
      </c>
      <c r="M78" s="146">
        <f t="shared" si="21"/>
        <v>3768.8751427303923</v>
      </c>
      <c r="N78" s="146">
        <f t="shared" si="21"/>
        <v>3768.8751427303923</v>
      </c>
      <c r="O78" s="146">
        <f t="shared" si="21"/>
        <v>3768.8751427303923</v>
      </c>
      <c r="P78" s="146">
        <f t="shared" si="21"/>
        <v>3768.8751427303923</v>
      </c>
      <c r="Q78" s="146">
        <f t="shared" si="21"/>
        <v>3768.8751427303923</v>
      </c>
      <c r="R78" s="146">
        <f t="shared" si="21"/>
        <v>9422.1878568259817</v>
      </c>
      <c r="S78" s="146">
        <f t="shared" si="21"/>
        <v>9422.1878568259817</v>
      </c>
    </row>
    <row r="79" spans="1:22" s="9" customFormat="1" ht="35.1" customHeight="1">
      <c r="A79" s="31"/>
      <c r="B79" s="125"/>
      <c r="C79" s="125" t="str">
        <f>+IFERROR(VLOOKUP($B79, 'Services to Beneficiaries'!$B$7:$C$17, 2, 0), " ")</f>
        <v xml:space="preserve"> </v>
      </c>
      <c r="D79" s="32" t="s">
        <v>163</v>
      </c>
      <c r="E79" s="34" t="s">
        <v>164</v>
      </c>
      <c r="F79" s="34">
        <v>10</v>
      </c>
      <c r="G79" s="34" t="s">
        <v>165</v>
      </c>
      <c r="H79" s="34">
        <v>2</v>
      </c>
      <c r="I79" s="34" t="s">
        <v>166</v>
      </c>
      <c r="J79" s="116">
        <v>1</v>
      </c>
      <c r="K79" s="119">
        <v>41.161234654100802</v>
      </c>
      <c r="L79" s="134">
        <v>823.22469308201607</v>
      </c>
      <c r="M79" s="128">
        <v>164.64493861640321</v>
      </c>
      <c r="N79" s="128">
        <v>164.64493861640321</v>
      </c>
      <c r="O79" s="128">
        <v>164.64493861640321</v>
      </c>
      <c r="P79" s="128">
        <v>164.64493861640321</v>
      </c>
      <c r="Q79" s="128">
        <v>164.64493861640321</v>
      </c>
      <c r="R79" s="126">
        <v>411.61234654100804</v>
      </c>
      <c r="S79" s="126">
        <v>411.61234654100804</v>
      </c>
    </row>
    <row r="80" spans="1:22" s="9" customFormat="1" ht="35.1" customHeight="1">
      <c r="A80" s="31"/>
      <c r="B80" s="125"/>
      <c r="C80" s="125" t="str">
        <f>+IFERROR(VLOOKUP($B80, 'Services to Beneficiaries'!$B$7:$C$17, 2, 0), " ")</f>
        <v xml:space="preserve"> </v>
      </c>
      <c r="D80" s="32" t="s">
        <v>167</v>
      </c>
      <c r="E80" s="34" t="s">
        <v>168</v>
      </c>
      <c r="F80" s="34">
        <v>10</v>
      </c>
      <c r="G80" s="34" t="s">
        <v>165</v>
      </c>
      <c r="H80" s="34">
        <v>2</v>
      </c>
      <c r="I80" s="34" t="s">
        <v>166</v>
      </c>
      <c r="J80" s="116">
        <v>1</v>
      </c>
      <c r="K80" s="119">
        <v>9.1469410342446231</v>
      </c>
      <c r="L80" s="134">
        <v>182.93882068489245</v>
      </c>
      <c r="M80" s="128">
        <v>36.587764136978493</v>
      </c>
      <c r="N80" s="128">
        <v>36.587764136978493</v>
      </c>
      <c r="O80" s="128">
        <v>36.587764136978493</v>
      </c>
      <c r="P80" s="128">
        <v>36.587764136978493</v>
      </c>
      <c r="Q80" s="128">
        <v>36.587764136978493</v>
      </c>
      <c r="R80" s="126">
        <v>91.469410342446224</v>
      </c>
      <c r="S80" s="126">
        <v>91.469410342446224</v>
      </c>
    </row>
    <row r="81" spans="1:19" s="9" customFormat="1" ht="35.1" customHeight="1">
      <c r="A81" s="31"/>
      <c r="B81" s="125"/>
      <c r="C81" s="125" t="str">
        <f>+IFERROR(VLOOKUP($B81, 'Services to Beneficiaries'!$B$7:$C$17, 2, 0), " ")</f>
        <v xml:space="preserve"> </v>
      </c>
      <c r="D81" s="32" t="s">
        <v>169</v>
      </c>
      <c r="E81" s="34" t="s">
        <v>170</v>
      </c>
      <c r="F81" s="34">
        <v>10</v>
      </c>
      <c r="G81" s="34" t="s">
        <v>165</v>
      </c>
      <c r="H81" s="34">
        <v>24</v>
      </c>
      <c r="I81" s="34" t="s">
        <v>96</v>
      </c>
      <c r="J81" s="116">
        <v>1</v>
      </c>
      <c r="K81" s="119">
        <v>38.112254309352593</v>
      </c>
      <c r="L81" s="134">
        <v>9146.9410342446226</v>
      </c>
      <c r="M81" s="128">
        <v>1829.3882068489245</v>
      </c>
      <c r="N81" s="128">
        <v>1829.3882068489245</v>
      </c>
      <c r="O81" s="128">
        <v>1829.3882068489245</v>
      </c>
      <c r="P81" s="128">
        <v>1829.3882068489245</v>
      </c>
      <c r="Q81" s="128">
        <v>1829.3882068489245</v>
      </c>
      <c r="R81" s="126">
        <v>4573.4705171223113</v>
      </c>
      <c r="S81" s="126">
        <v>4573.4705171223113</v>
      </c>
    </row>
    <row r="82" spans="1:19" s="9" customFormat="1" ht="35.1" customHeight="1">
      <c r="A82" s="31"/>
      <c r="B82" s="125"/>
      <c r="C82" s="125" t="str">
        <f>+IFERROR(VLOOKUP($B82, 'Services to Beneficiaries'!$B$7:$C$17, 2, 0), " ")</f>
        <v xml:space="preserve"> </v>
      </c>
      <c r="D82" s="32" t="s">
        <v>171</v>
      </c>
      <c r="E82" s="34" t="s">
        <v>172</v>
      </c>
      <c r="F82" s="34">
        <v>1</v>
      </c>
      <c r="G82" s="34" t="s">
        <v>165</v>
      </c>
      <c r="H82" s="34">
        <v>24</v>
      </c>
      <c r="I82" s="34" t="s">
        <v>96</v>
      </c>
      <c r="J82" s="116">
        <v>7.0000000000000007E-2</v>
      </c>
      <c r="K82" s="119">
        <v>228.67352585611556</v>
      </c>
      <c r="L82" s="134">
        <v>384.17152343827422</v>
      </c>
      <c r="M82" s="128">
        <v>76.83430468765485</v>
      </c>
      <c r="N82" s="128">
        <v>76.83430468765485</v>
      </c>
      <c r="O82" s="128">
        <v>76.83430468765485</v>
      </c>
      <c r="P82" s="128">
        <v>76.83430468765485</v>
      </c>
      <c r="Q82" s="128">
        <v>76.83430468765485</v>
      </c>
      <c r="R82" s="126">
        <v>192.08576171913711</v>
      </c>
      <c r="S82" s="126">
        <v>192.08576171913711</v>
      </c>
    </row>
    <row r="83" spans="1:19" s="9" customFormat="1" ht="35.1" customHeight="1">
      <c r="A83" s="31"/>
      <c r="B83" s="125"/>
      <c r="C83" s="125" t="str">
        <f>+IFERROR(VLOOKUP($B83, 'Services to Beneficiaries'!$B$7:$C$17, 2, 0), " ")</f>
        <v xml:space="preserve"> </v>
      </c>
      <c r="D83" s="32" t="s">
        <v>173</v>
      </c>
      <c r="E83" s="34" t="s">
        <v>174</v>
      </c>
      <c r="F83" s="34">
        <v>1</v>
      </c>
      <c r="G83" s="34" t="s">
        <v>165</v>
      </c>
      <c r="H83" s="34">
        <v>24</v>
      </c>
      <c r="I83" s="34" t="s">
        <v>96</v>
      </c>
      <c r="J83" s="116">
        <v>7.0000000000000007E-2</v>
      </c>
      <c r="K83" s="119">
        <v>707.86652173846767</v>
      </c>
      <c r="L83" s="134">
        <v>1189.2157565206257</v>
      </c>
      <c r="M83" s="128">
        <v>237.84315130412514</v>
      </c>
      <c r="N83" s="128">
        <v>237.84315130412514</v>
      </c>
      <c r="O83" s="128">
        <v>237.84315130412514</v>
      </c>
      <c r="P83" s="128">
        <v>237.84315130412514</v>
      </c>
      <c r="Q83" s="128">
        <v>237.84315130412514</v>
      </c>
      <c r="R83" s="126">
        <v>594.60787826031287</v>
      </c>
      <c r="S83" s="126">
        <v>594.60787826031287</v>
      </c>
    </row>
    <row r="84" spans="1:19" s="9" customFormat="1" ht="35.1" customHeight="1">
      <c r="A84" s="31"/>
      <c r="B84" s="125"/>
      <c r="C84" s="125" t="str">
        <f>+IFERROR(VLOOKUP($B84, 'Services to Beneficiaries'!$B$7:$C$17, 2, 0), " ")</f>
        <v xml:space="preserve"> </v>
      </c>
      <c r="D84" s="32" t="s">
        <v>175</v>
      </c>
      <c r="E84" s="34" t="s">
        <v>176</v>
      </c>
      <c r="F84" s="34">
        <v>1</v>
      </c>
      <c r="G84" s="34" t="s">
        <v>165</v>
      </c>
      <c r="H84" s="34">
        <v>24</v>
      </c>
      <c r="I84" s="34" t="s">
        <v>96</v>
      </c>
      <c r="J84" s="116">
        <v>7.0000000000000007E-2</v>
      </c>
      <c r="K84" s="119">
        <v>914.69410342446224</v>
      </c>
      <c r="L84" s="134">
        <v>1536.6860937530969</v>
      </c>
      <c r="M84" s="128">
        <v>307.3372187506194</v>
      </c>
      <c r="N84" s="128">
        <v>307.3372187506194</v>
      </c>
      <c r="O84" s="128">
        <v>307.3372187506194</v>
      </c>
      <c r="P84" s="128">
        <v>307.3372187506194</v>
      </c>
      <c r="Q84" s="128">
        <v>307.3372187506194</v>
      </c>
      <c r="R84" s="126">
        <v>768.34304687654844</v>
      </c>
      <c r="S84" s="126">
        <v>768.34304687654844</v>
      </c>
    </row>
    <row r="85" spans="1:19" s="9" customFormat="1" ht="35.1" customHeight="1">
      <c r="A85" s="31"/>
      <c r="B85" s="125"/>
      <c r="C85" s="125" t="str">
        <f>+IFERROR(VLOOKUP($B85, 'Services to Beneficiaries'!$B$7:$C$17, 2, 0), " ")</f>
        <v xml:space="preserve"> </v>
      </c>
      <c r="D85" s="32" t="s">
        <v>177</v>
      </c>
      <c r="E85" s="34" t="s">
        <v>178</v>
      </c>
      <c r="F85" s="120">
        <v>1</v>
      </c>
      <c r="G85" s="120" t="s">
        <v>96</v>
      </c>
      <c r="H85" s="120">
        <v>24</v>
      </c>
      <c r="I85" s="120" t="s">
        <v>179</v>
      </c>
      <c r="J85" s="116">
        <v>7.0000000000000007E-2</v>
      </c>
      <c r="K85" s="119">
        <v>731.75528273956979</v>
      </c>
      <c r="L85" s="134">
        <v>1229.3488750024776</v>
      </c>
      <c r="M85" s="128">
        <v>245.86977500049551</v>
      </c>
      <c r="N85" s="128">
        <v>245.86977500049551</v>
      </c>
      <c r="O85" s="128">
        <v>245.86977500049551</v>
      </c>
      <c r="P85" s="128">
        <v>245.86977500049551</v>
      </c>
      <c r="Q85" s="128">
        <v>245.86977500049551</v>
      </c>
      <c r="R85" s="126">
        <v>614.6744375012388</v>
      </c>
      <c r="S85" s="126">
        <v>614.6744375012388</v>
      </c>
    </row>
    <row r="86" spans="1:19" s="9" customFormat="1" ht="35.1" customHeight="1">
      <c r="A86" s="31"/>
      <c r="B86" s="125"/>
      <c r="C86" s="125" t="str">
        <f>+IFERROR(VLOOKUP($B86, 'Services to Beneficiaries'!$B$7:$C$17, 2, 0), " ")</f>
        <v xml:space="preserve"> </v>
      </c>
      <c r="D86" s="32" t="s">
        <v>180</v>
      </c>
      <c r="E86" s="34" t="s">
        <v>181</v>
      </c>
      <c r="F86" s="120">
        <v>1</v>
      </c>
      <c r="G86" s="120" t="s">
        <v>96</v>
      </c>
      <c r="H86" s="120">
        <v>24</v>
      </c>
      <c r="I86" s="120" t="s">
        <v>179</v>
      </c>
      <c r="J86" s="116">
        <v>7.0000000000000007E-2</v>
      </c>
      <c r="K86" s="119">
        <v>1780.909419367428</v>
      </c>
      <c r="L86" s="134">
        <v>2991.9278245372793</v>
      </c>
      <c r="M86" s="128">
        <v>598.38556490745589</v>
      </c>
      <c r="N86" s="128">
        <v>598.38556490745589</v>
      </c>
      <c r="O86" s="128">
        <v>598.38556490745589</v>
      </c>
      <c r="P86" s="128">
        <v>598.38556490745589</v>
      </c>
      <c r="Q86" s="128">
        <v>598.38556490745589</v>
      </c>
      <c r="R86" s="126">
        <v>1495.9639122686397</v>
      </c>
      <c r="S86" s="126">
        <v>1495.9639122686397</v>
      </c>
    </row>
    <row r="87" spans="1:19" s="9" customFormat="1" ht="35.1" customHeight="1">
      <c r="A87" s="31"/>
      <c r="B87" s="125"/>
      <c r="C87" s="125" t="str">
        <f>+IFERROR(VLOOKUP($B87, 'Services to Beneficiaries'!$B$7:$C$17, 2, 0), " ")</f>
        <v xml:space="preserve"> </v>
      </c>
      <c r="D87" s="32" t="s">
        <v>182</v>
      </c>
      <c r="E87" s="34" t="s">
        <v>183</v>
      </c>
      <c r="F87" s="120">
        <v>1</v>
      </c>
      <c r="G87" s="120" t="s">
        <v>96</v>
      </c>
      <c r="H87" s="120">
        <v>24</v>
      </c>
      <c r="I87" s="120" t="s">
        <v>179</v>
      </c>
      <c r="J87" s="116">
        <v>7.0000000000000007E-2</v>
      </c>
      <c r="K87" s="119">
        <v>597.2068291061762</v>
      </c>
      <c r="L87" s="134">
        <v>1003.3074728983761</v>
      </c>
      <c r="M87" s="128">
        <v>200.66149457967521</v>
      </c>
      <c r="N87" s="128">
        <v>200.66149457967521</v>
      </c>
      <c r="O87" s="128">
        <v>200.66149457967521</v>
      </c>
      <c r="P87" s="128">
        <v>200.66149457967521</v>
      </c>
      <c r="Q87" s="128">
        <v>200.66149457967521</v>
      </c>
      <c r="R87" s="126">
        <v>501.65373644918805</v>
      </c>
      <c r="S87" s="126">
        <v>501.65373644918805</v>
      </c>
    </row>
    <row r="88" spans="1:19" s="9" customFormat="1" ht="35.1" customHeight="1">
      <c r="A88" s="31"/>
      <c r="B88" s="125"/>
      <c r="C88" s="125" t="str">
        <f>+IFERROR(VLOOKUP($B88, 'Services to Beneficiaries'!$B$7:$C$17, 2, 0), " ")</f>
        <v xml:space="preserve"> </v>
      </c>
      <c r="D88" s="32" t="s">
        <v>184</v>
      </c>
      <c r="E88" s="34" t="s">
        <v>185</v>
      </c>
      <c r="F88" s="120">
        <v>1</v>
      </c>
      <c r="G88" s="120" t="s">
        <v>96</v>
      </c>
      <c r="H88" s="120">
        <v>24</v>
      </c>
      <c r="I88" s="120" t="s">
        <v>179</v>
      </c>
      <c r="J88" s="116">
        <v>7.0000000000000007E-2</v>
      </c>
      <c r="K88" s="119">
        <v>179.88984034014425</v>
      </c>
      <c r="L88" s="134">
        <v>302.21493177144237</v>
      </c>
      <c r="M88" s="128">
        <v>60.442986354288472</v>
      </c>
      <c r="N88" s="128">
        <v>60.442986354288472</v>
      </c>
      <c r="O88" s="128">
        <v>60.442986354288472</v>
      </c>
      <c r="P88" s="128">
        <v>60.442986354288472</v>
      </c>
      <c r="Q88" s="128">
        <v>60.442986354288472</v>
      </c>
      <c r="R88" s="126">
        <v>151.10746588572118</v>
      </c>
      <c r="S88" s="126">
        <v>151.10746588572118</v>
      </c>
    </row>
    <row r="89" spans="1:19" s="9" customFormat="1" ht="35.1" customHeight="1">
      <c r="A89" s="31"/>
      <c r="B89" s="125"/>
      <c r="C89" s="125" t="str">
        <f>+IFERROR(VLOOKUP($B89, 'Services to Beneficiaries'!$B$7:$C$17, 2, 0), " ")</f>
        <v xml:space="preserve"> </v>
      </c>
      <c r="D89" s="32" t="s">
        <v>186</v>
      </c>
      <c r="E89" s="34" t="s">
        <v>187</v>
      </c>
      <c r="F89" s="120">
        <v>1</v>
      </c>
      <c r="G89" s="120" t="s">
        <v>96</v>
      </c>
      <c r="H89" s="120">
        <v>24</v>
      </c>
      <c r="I89" s="120" t="s">
        <v>179</v>
      </c>
      <c r="J89" s="116">
        <v>7.0000000000000007E-2</v>
      </c>
      <c r="K89" s="119">
        <v>32.380171261225968</v>
      </c>
      <c r="L89" s="134">
        <v>54.398687718859627</v>
      </c>
      <c r="M89" s="128">
        <v>10.879737543771926</v>
      </c>
      <c r="N89" s="128">
        <v>10.879737543771926</v>
      </c>
      <c r="O89" s="128">
        <v>10.879737543771926</v>
      </c>
      <c r="P89" s="128">
        <v>10.879737543771926</v>
      </c>
      <c r="Q89" s="128">
        <v>10.879737543771926</v>
      </c>
      <c r="R89" s="126">
        <v>27.199343859429813</v>
      </c>
      <c r="S89" s="126">
        <v>27.199343859429813</v>
      </c>
    </row>
    <row r="90" spans="1:19" s="39" customFormat="1" ht="35.1" customHeight="1">
      <c r="B90" s="40"/>
      <c r="C90" s="40"/>
      <c r="D90" s="40" t="s">
        <v>188</v>
      </c>
      <c r="E90" s="40" t="s">
        <v>189</v>
      </c>
      <c r="F90" s="40"/>
      <c r="G90" s="40"/>
      <c r="H90" s="40"/>
      <c r="I90" s="40"/>
      <c r="J90" s="118"/>
      <c r="K90" s="44">
        <v>843.16959800718644</v>
      </c>
      <c r="L90" s="146">
        <f t="shared" ref="L90:S90" si="22">SUM(L91)</f>
        <v>1024.9569633375359</v>
      </c>
      <c r="M90" s="146">
        <f t="shared" si="22"/>
        <v>204.99139266750717</v>
      </c>
      <c r="N90" s="146">
        <f t="shared" si="22"/>
        <v>204.99139266750717</v>
      </c>
      <c r="O90" s="146">
        <f t="shared" si="22"/>
        <v>204.99139266750717</v>
      </c>
      <c r="P90" s="146">
        <f t="shared" si="22"/>
        <v>204.99139266750717</v>
      </c>
      <c r="Q90" s="146">
        <f t="shared" si="22"/>
        <v>204.99139266750717</v>
      </c>
      <c r="R90" s="146">
        <f t="shared" si="22"/>
        <v>512.47848166876793</v>
      </c>
      <c r="S90" s="146">
        <f t="shared" si="22"/>
        <v>512.47848166876793</v>
      </c>
    </row>
    <row r="91" spans="1:19" s="9" customFormat="1" ht="35.1" customHeight="1">
      <c r="A91" s="31"/>
      <c r="B91" s="125"/>
      <c r="C91" s="125" t="str">
        <f>+IFERROR(VLOOKUP($B91, 'Services to Beneficiaries'!$B$7:$C$17, 2, 0), " ")</f>
        <v xml:space="preserve"> </v>
      </c>
      <c r="D91" s="32" t="s">
        <v>190</v>
      </c>
      <c r="E91" s="34" t="s">
        <v>191</v>
      </c>
      <c r="F91" s="34">
        <v>1</v>
      </c>
      <c r="G91" s="34" t="s">
        <v>165</v>
      </c>
      <c r="H91" s="34">
        <v>24</v>
      </c>
      <c r="I91" s="34" t="s">
        <v>96</v>
      </c>
      <c r="J91" s="116">
        <v>5.0650000000000001E-2</v>
      </c>
      <c r="K91" s="119">
        <v>843.16959800718644</v>
      </c>
      <c r="L91" s="126">
        <v>1024.9569633375359</v>
      </c>
      <c r="M91" s="128">
        <v>204.99139266750717</v>
      </c>
      <c r="N91" s="128">
        <v>204.99139266750717</v>
      </c>
      <c r="O91" s="128">
        <v>204.99139266750717</v>
      </c>
      <c r="P91" s="128">
        <v>204.99139266750717</v>
      </c>
      <c r="Q91" s="128">
        <v>204.99139266750717</v>
      </c>
      <c r="R91" s="128">
        <v>512.47848166876793</v>
      </c>
      <c r="S91" s="128">
        <v>512.47848166876793</v>
      </c>
    </row>
    <row r="92" spans="1:19" s="10" customFormat="1" ht="35.1" customHeight="1">
      <c r="A92" s="9"/>
      <c r="B92" s="24"/>
      <c r="C92" s="24"/>
      <c r="D92" s="24" t="s">
        <v>192</v>
      </c>
      <c r="E92" s="25" t="s">
        <v>193</v>
      </c>
      <c r="F92" s="25"/>
      <c r="G92" s="25"/>
      <c r="H92" s="25"/>
      <c r="I92" s="25"/>
      <c r="J92" s="115"/>
      <c r="K92" s="28"/>
      <c r="L92" s="145">
        <f t="shared" ref="L92:S92" si="23">L93+L99</f>
        <v>18352.188428829933</v>
      </c>
      <c r="M92" s="145">
        <f t="shared" si="23"/>
        <v>3670.4376857659868</v>
      </c>
      <c r="N92" s="145">
        <f t="shared" si="23"/>
        <v>3670.4376857659868</v>
      </c>
      <c r="O92" s="145">
        <f t="shared" si="23"/>
        <v>3670.4376857659868</v>
      </c>
      <c r="P92" s="145">
        <f t="shared" si="23"/>
        <v>3670.4376857659868</v>
      </c>
      <c r="Q92" s="145">
        <f t="shared" si="23"/>
        <v>3670.4376857659868</v>
      </c>
      <c r="R92" s="145">
        <f t="shared" si="23"/>
        <v>9176.0942144149667</v>
      </c>
      <c r="S92" s="145">
        <f t="shared" si="23"/>
        <v>9176.0942144149667</v>
      </c>
    </row>
    <row r="93" spans="1:19" s="39" customFormat="1" ht="35.1" customHeight="1">
      <c r="B93" s="40"/>
      <c r="C93" s="40"/>
      <c r="D93" s="40" t="s">
        <v>194</v>
      </c>
      <c r="E93" s="40" t="s">
        <v>195</v>
      </c>
      <c r="F93" s="40"/>
      <c r="G93" s="40"/>
      <c r="H93" s="40"/>
      <c r="I93" s="40"/>
      <c r="J93" s="118"/>
      <c r="K93" s="40"/>
      <c r="L93" s="146">
        <f t="shared" ref="L93:S93" si="24">SUM(L94,L97)</f>
        <v>13144.529999999995</v>
      </c>
      <c r="M93" s="146">
        <f t="shared" si="24"/>
        <v>2628.905999999999</v>
      </c>
      <c r="N93" s="146">
        <f t="shared" si="24"/>
        <v>2628.905999999999</v>
      </c>
      <c r="O93" s="146">
        <f t="shared" si="24"/>
        <v>2628.905999999999</v>
      </c>
      <c r="P93" s="146">
        <f t="shared" si="24"/>
        <v>2628.905999999999</v>
      </c>
      <c r="Q93" s="146">
        <f t="shared" si="24"/>
        <v>2628.905999999999</v>
      </c>
      <c r="R93" s="146">
        <f t="shared" si="24"/>
        <v>6572.2649999999976</v>
      </c>
      <c r="S93" s="146">
        <f t="shared" si="24"/>
        <v>6572.2649999999976</v>
      </c>
    </row>
    <row r="94" spans="1:19" s="9" customFormat="1" ht="35.1" customHeight="1">
      <c r="A94" s="31"/>
      <c r="B94" s="45"/>
      <c r="C94" s="45"/>
      <c r="D94" s="45" t="s">
        <v>196</v>
      </c>
      <c r="E94" s="46" t="s">
        <v>197</v>
      </c>
      <c r="F94" s="46"/>
      <c r="G94" s="46"/>
      <c r="H94" s="46"/>
      <c r="I94" s="46"/>
      <c r="J94" s="121"/>
      <c r="K94" s="46"/>
      <c r="L94" s="147">
        <f t="shared" ref="L94:S94" si="25">SUM(L95:L96)</f>
        <v>13144.529999999995</v>
      </c>
      <c r="M94" s="147">
        <f t="shared" si="25"/>
        <v>2628.905999999999</v>
      </c>
      <c r="N94" s="147">
        <f t="shared" si="25"/>
        <v>2628.905999999999</v>
      </c>
      <c r="O94" s="147">
        <f t="shared" si="25"/>
        <v>2628.905999999999</v>
      </c>
      <c r="P94" s="147">
        <f t="shared" si="25"/>
        <v>2628.905999999999</v>
      </c>
      <c r="Q94" s="147">
        <f t="shared" si="25"/>
        <v>2628.905999999999</v>
      </c>
      <c r="R94" s="147">
        <f t="shared" si="25"/>
        <v>6572.2649999999976</v>
      </c>
      <c r="S94" s="147">
        <f t="shared" si="25"/>
        <v>6572.2649999999976</v>
      </c>
    </row>
    <row r="95" spans="1:19" s="9" customFormat="1" ht="35.1" customHeight="1">
      <c r="A95" s="31"/>
      <c r="B95" s="125"/>
      <c r="C95" s="125" t="str">
        <f>+IFERROR(VLOOKUP($B95, 'Services to Beneficiaries'!$B$7:$C$17, 2, 0), " ")</f>
        <v xml:space="preserve"> </v>
      </c>
      <c r="D95" s="32" t="s">
        <v>198</v>
      </c>
      <c r="E95" s="98" t="s">
        <v>199</v>
      </c>
      <c r="F95" s="34">
        <v>2</v>
      </c>
      <c r="G95" s="98" t="s">
        <v>200</v>
      </c>
      <c r="H95" s="34">
        <v>1</v>
      </c>
      <c r="I95" s="98" t="s">
        <v>201</v>
      </c>
      <c r="J95" s="116">
        <v>1</v>
      </c>
      <c r="K95" s="34">
        <v>2500</v>
      </c>
      <c r="L95" s="128">
        <v>5000</v>
      </c>
      <c r="M95" s="128">
        <v>1000</v>
      </c>
      <c r="N95" s="128">
        <v>1000</v>
      </c>
      <c r="O95" s="128">
        <v>1000</v>
      </c>
      <c r="P95" s="128">
        <v>1000</v>
      </c>
      <c r="Q95" s="128">
        <v>1000</v>
      </c>
      <c r="R95" s="128">
        <v>2500</v>
      </c>
      <c r="S95" s="128">
        <v>2500</v>
      </c>
    </row>
    <row r="96" spans="1:19" s="9" customFormat="1" ht="35.1" customHeight="1">
      <c r="A96" s="31"/>
      <c r="B96" s="125"/>
      <c r="C96" s="125" t="str">
        <f>+IFERROR(VLOOKUP($B96, 'Services to Beneficiaries'!$B$7:$C$17, 2, 0), " ")</f>
        <v xml:space="preserve"> </v>
      </c>
      <c r="D96" s="32" t="s">
        <v>202</v>
      </c>
      <c r="E96" s="98" t="s">
        <v>203</v>
      </c>
      <c r="F96" s="34">
        <v>2</v>
      </c>
      <c r="G96" s="98" t="s">
        <v>200</v>
      </c>
      <c r="H96" s="34">
        <v>1</v>
      </c>
      <c r="I96" s="98" t="s">
        <v>201</v>
      </c>
      <c r="J96" s="116">
        <v>1</v>
      </c>
      <c r="K96" s="34">
        <v>4072.2649999999981</v>
      </c>
      <c r="L96" s="128">
        <v>8144.5299999999961</v>
      </c>
      <c r="M96" s="128">
        <v>1628.9059999999993</v>
      </c>
      <c r="N96" s="128">
        <v>1628.9059999999993</v>
      </c>
      <c r="O96" s="128">
        <v>1628.9059999999993</v>
      </c>
      <c r="P96" s="128">
        <v>1628.9059999999993</v>
      </c>
      <c r="Q96" s="128">
        <v>1628.9059999999993</v>
      </c>
      <c r="R96" s="128">
        <v>4072.2649999999981</v>
      </c>
      <c r="S96" s="128">
        <v>4072.2649999999981</v>
      </c>
    </row>
    <row r="97" spans="1:19" s="9" customFormat="1" ht="35.1" customHeight="1">
      <c r="A97" s="31"/>
      <c r="B97" s="45"/>
      <c r="C97" s="45"/>
      <c r="D97" s="45" t="s">
        <v>204</v>
      </c>
      <c r="E97" s="46" t="s">
        <v>205</v>
      </c>
      <c r="F97" s="46"/>
      <c r="G97" s="46"/>
      <c r="H97" s="46"/>
      <c r="I97" s="46"/>
      <c r="J97" s="121"/>
      <c r="K97" s="46"/>
      <c r="L97" s="147">
        <f t="shared" ref="L97:S97" si="26">SUM(L98)</f>
        <v>0</v>
      </c>
      <c r="M97" s="147">
        <f t="shared" si="26"/>
        <v>0</v>
      </c>
      <c r="N97" s="147">
        <f t="shared" si="26"/>
        <v>0</v>
      </c>
      <c r="O97" s="147">
        <f t="shared" si="26"/>
        <v>0</v>
      </c>
      <c r="P97" s="147">
        <f t="shared" si="26"/>
        <v>0</v>
      </c>
      <c r="Q97" s="147">
        <f t="shared" si="26"/>
        <v>0</v>
      </c>
      <c r="R97" s="147">
        <f t="shared" si="26"/>
        <v>0</v>
      </c>
      <c r="S97" s="147">
        <f t="shared" si="26"/>
        <v>0</v>
      </c>
    </row>
    <row r="98" spans="1:19" s="9" customFormat="1" ht="35.1" customHeight="1">
      <c r="A98" s="31"/>
      <c r="B98" s="125"/>
      <c r="C98" s="125" t="str">
        <f>+IFERROR(VLOOKUP($B98, 'Services to Beneficiaries'!$B$7:$C$17, 2, 0), " ")</f>
        <v xml:space="preserve"> </v>
      </c>
      <c r="D98" s="32" t="s">
        <v>206</v>
      </c>
      <c r="E98" s="98"/>
      <c r="F98" s="34"/>
      <c r="G98" s="98"/>
      <c r="H98" s="34"/>
      <c r="I98" s="98"/>
      <c r="J98" s="116"/>
      <c r="K98" s="34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</row>
    <row r="99" spans="1:19" s="39" customFormat="1" ht="35.1" customHeight="1">
      <c r="B99" s="40"/>
      <c r="C99" s="40"/>
      <c r="D99" s="40" t="s">
        <v>207</v>
      </c>
      <c r="E99" s="40" t="s">
        <v>208</v>
      </c>
      <c r="F99" s="40"/>
      <c r="G99" s="40"/>
      <c r="H99" s="40"/>
      <c r="I99" s="40"/>
      <c r="J99" s="118"/>
      <c r="K99" s="40"/>
      <c r="L99" s="146">
        <f t="shared" ref="L99:S99" si="27">SUM(L100,L102)</f>
        <v>5207.6584288299391</v>
      </c>
      <c r="M99" s="146">
        <f t="shared" si="27"/>
        <v>1041.5316857659877</v>
      </c>
      <c r="N99" s="146">
        <f t="shared" si="27"/>
        <v>1041.5316857659877</v>
      </c>
      <c r="O99" s="146">
        <f t="shared" si="27"/>
        <v>1041.5316857659877</v>
      </c>
      <c r="P99" s="146">
        <f t="shared" si="27"/>
        <v>1041.5316857659877</v>
      </c>
      <c r="Q99" s="146">
        <f t="shared" si="27"/>
        <v>1041.5316857659877</v>
      </c>
      <c r="R99" s="146">
        <f t="shared" si="27"/>
        <v>2603.8292144149696</v>
      </c>
      <c r="S99" s="146">
        <f t="shared" si="27"/>
        <v>2603.8292144149696</v>
      </c>
    </row>
    <row r="100" spans="1:19" s="9" customFormat="1" ht="35.1" customHeight="1">
      <c r="A100" s="31"/>
      <c r="B100" s="45"/>
      <c r="C100" s="45"/>
      <c r="D100" s="45" t="s">
        <v>209</v>
      </c>
      <c r="E100" s="46" t="s">
        <v>210</v>
      </c>
      <c r="F100" s="46"/>
      <c r="G100" s="46"/>
      <c r="H100" s="46"/>
      <c r="I100" s="46"/>
      <c r="J100" s="121"/>
      <c r="K100" s="46"/>
      <c r="L100" s="147">
        <f t="shared" ref="L100:S100" si="28">SUM(L101)</f>
        <v>0</v>
      </c>
      <c r="M100" s="147">
        <f t="shared" si="28"/>
        <v>0</v>
      </c>
      <c r="N100" s="147">
        <f t="shared" si="28"/>
        <v>0</v>
      </c>
      <c r="O100" s="147">
        <f t="shared" si="28"/>
        <v>0</v>
      </c>
      <c r="P100" s="147">
        <f t="shared" si="28"/>
        <v>0</v>
      </c>
      <c r="Q100" s="147">
        <f t="shared" si="28"/>
        <v>0</v>
      </c>
      <c r="R100" s="147">
        <f t="shared" si="28"/>
        <v>0</v>
      </c>
      <c r="S100" s="147">
        <f t="shared" si="28"/>
        <v>0</v>
      </c>
    </row>
    <row r="101" spans="1:19" s="9" customFormat="1" ht="35.1" customHeight="1">
      <c r="A101" s="31"/>
      <c r="B101" s="125"/>
      <c r="C101" s="125" t="str">
        <f>+IFERROR(VLOOKUP($B101, 'Services to Beneficiaries'!$B$7:$C$17, 2, 0), " ")</f>
        <v xml:space="preserve"> </v>
      </c>
      <c r="D101" s="32" t="s">
        <v>211</v>
      </c>
      <c r="E101" s="98"/>
      <c r="F101" s="34"/>
      <c r="G101" s="98"/>
      <c r="H101" s="34"/>
      <c r="I101" s="98"/>
      <c r="J101" s="116"/>
      <c r="K101" s="119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</row>
    <row r="102" spans="1:19" s="9" customFormat="1" ht="35.1" customHeight="1">
      <c r="A102" s="31"/>
      <c r="B102" s="45"/>
      <c r="C102" s="45"/>
      <c r="D102" s="45" t="s">
        <v>212</v>
      </c>
      <c r="E102" s="46" t="s">
        <v>213</v>
      </c>
      <c r="F102" s="46"/>
      <c r="G102" s="46"/>
      <c r="H102" s="46"/>
      <c r="I102" s="46"/>
      <c r="J102" s="121"/>
      <c r="K102" s="46"/>
      <c r="L102" s="147">
        <f t="shared" ref="L102:S102" si="29">SUM(L103:L105)</f>
        <v>5207.6584288299391</v>
      </c>
      <c r="M102" s="147">
        <f t="shared" si="29"/>
        <v>1041.5316857659877</v>
      </c>
      <c r="N102" s="147">
        <f t="shared" si="29"/>
        <v>1041.5316857659877</v>
      </c>
      <c r="O102" s="147">
        <f t="shared" si="29"/>
        <v>1041.5316857659877</v>
      </c>
      <c r="P102" s="147">
        <f t="shared" si="29"/>
        <v>1041.5316857659877</v>
      </c>
      <c r="Q102" s="147">
        <f t="shared" si="29"/>
        <v>1041.5316857659877</v>
      </c>
      <c r="R102" s="147">
        <f t="shared" si="29"/>
        <v>2603.8292144149696</v>
      </c>
      <c r="S102" s="147">
        <f t="shared" si="29"/>
        <v>2603.8292144149696</v>
      </c>
    </row>
    <row r="103" spans="1:19" s="9" customFormat="1" ht="35.1" customHeight="1">
      <c r="A103" s="31"/>
      <c r="B103" s="125"/>
      <c r="C103" s="125" t="str">
        <f>+IFERROR(VLOOKUP($B103, 'Services to Beneficiaries'!$B$7:$C$17, 2, 0), " ")</f>
        <v xml:space="preserve"> </v>
      </c>
      <c r="D103" s="32" t="s">
        <v>214</v>
      </c>
      <c r="E103" s="98" t="s">
        <v>215</v>
      </c>
      <c r="F103" s="34">
        <v>6</v>
      </c>
      <c r="G103" s="98" t="s">
        <v>216</v>
      </c>
      <c r="H103" s="34">
        <v>8</v>
      </c>
      <c r="I103" s="98" t="s">
        <v>217</v>
      </c>
      <c r="J103" s="116">
        <v>7.0000000000000007E-2</v>
      </c>
      <c r="K103" s="119">
        <v>914.69410342446224</v>
      </c>
      <c r="L103" s="128">
        <v>3073.3721875061938</v>
      </c>
      <c r="M103" s="128">
        <v>614.6744375012388</v>
      </c>
      <c r="N103" s="128">
        <v>614.6744375012388</v>
      </c>
      <c r="O103" s="128">
        <v>614.6744375012388</v>
      </c>
      <c r="P103" s="128">
        <v>614.6744375012388</v>
      </c>
      <c r="Q103" s="128">
        <v>614.6744375012388</v>
      </c>
      <c r="R103" s="128">
        <v>1536.6860937530969</v>
      </c>
      <c r="S103" s="128">
        <v>1536.6860937530969</v>
      </c>
    </row>
    <row r="104" spans="1:19" s="9" customFormat="1" ht="35.1" customHeight="1">
      <c r="A104" s="31"/>
      <c r="B104" s="125"/>
      <c r="C104" s="125" t="str">
        <f>+IFERROR(VLOOKUP($B104, 'Services to Beneficiaries'!$B$7:$C$17, 2, 0), " ")</f>
        <v xml:space="preserve"> </v>
      </c>
      <c r="D104" s="32" t="s">
        <v>211</v>
      </c>
      <c r="E104" s="98" t="s">
        <v>218</v>
      </c>
      <c r="F104" s="34">
        <v>5</v>
      </c>
      <c r="G104" s="98" t="s">
        <v>216</v>
      </c>
      <c r="H104" s="34">
        <v>8</v>
      </c>
      <c r="I104" s="98" t="s">
        <v>217</v>
      </c>
      <c r="J104" s="116">
        <v>1</v>
      </c>
      <c r="K104" s="119">
        <v>15.244901723741037</v>
      </c>
      <c r="L104" s="128">
        <v>609.79606894964149</v>
      </c>
      <c r="M104" s="128">
        <v>121.9592137899283</v>
      </c>
      <c r="N104" s="128">
        <v>121.9592137899283</v>
      </c>
      <c r="O104" s="128">
        <v>121.9592137899283</v>
      </c>
      <c r="P104" s="128">
        <v>121.9592137899283</v>
      </c>
      <c r="Q104" s="128">
        <v>121.9592137899283</v>
      </c>
      <c r="R104" s="128">
        <v>304.89803447482075</v>
      </c>
      <c r="S104" s="128">
        <v>304.89803447482075</v>
      </c>
    </row>
    <row r="105" spans="1:19" s="9" customFormat="1" ht="35.1" customHeight="1">
      <c r="A105" s="31"/>
      <c r="B105" s="125"/>
      <c r="C105" s="125" t="str">
        <f>+IFERROR(VLOOKUP($B105, 'Services to Beneficiaries'!$B$7:$C$17, 2, 0), " ")</f>
        <v xml:space="preserve"> </v>
      </c>
      <c r="D105" s="32" t="s">
        <v>219</v>
      </c>
      <c r="E105" s="98" t="s">
        <v>220</v>
      </c>
      <c r="F105" s="34">
        <v>5</v>
      </c>
      <c r="G105" s="98" t="s">
        <v>221</v>
      </c>
      <c r="H105" s="34">
        <v>8</v>
      </c>
      <c r="I105" s="98" t="s">
        <v>217</v>
      </c>
      <c r="J105" s="116">
        <v>1</v>
      </c>
      <c r="K105" s="119">
        <v>38.112254309352593</v>
      </c>
      <c r="L105" s="128">
        <v>1524.4901723741038</v>
      </c>
      <c r="M105" s="128">
        <v>304.89803447482075</v>
      </c>
      <c r="N105" s="128">
        <v>304.89803447482075</v>
      </c>
      <c r="O105" s="128">
        <v>304.89803447482075</v>
      </c>
      <c r="P105" s="128">
        <v>304.89803447482075</v>
      </c>
      <c r="Q105" s="128">
        <v>304.89803447482075</v>
      </c>
      <c r="R105" s="128">
        <v>762.24508618705192</v>
      </c>
      <c r="S105" s="128">
        <v>762.24508618705192</v>
      </c>
    </row>
    <row r="106" spans="1:19" s="10" customFormat="1" ht="35.1" customHeight="1">
      <c r="A106" s="9"/>
      <c r="B106" s="24"/>
      <c r="C106" s="24"/>
      <c r="D106" s="24" t="s">
        <v>222</v>
      </c>
      <c r="E106" s="25" t="s">
        <v>223</v>
      </c>
      <c r="F106" s="25"/>
      <c r="G106" s="25"/>
      <c r="H106" s="25"/>
      <c r="I106" s="25"/>
      <c r="J106" s="115"/>
      <c r="K106" s="28"/>
      <c r="L106" s="148">
        <f t="shared" ref="L106:S106" si="30">SUM(L107:L110)</f>
        <v>25664.243235455982</v>
      </c>
      <c r="M106" s="148">
        <f t="shared" si="30"/>
        <v>5132.8486470911967</v>
      </c>
      <c r="N106" s="148">
        <f t="shared" si="30"/>
        <v>5132.8486470911967</v>
      </c>
      <c r="O106" s="148">
        <f t="shared" si="30"/>
        <v>5132.8486470911967</v>
      </c>
      <c r="P106" s="148">
        <f t="shared" si="30"/>
        <v>5132.8486470911967</v>
      </c>
      <c r="Q106" s="148">
        <f t="shared" si="30"/>
        <v>5132.8486470911967</v>
      </c>
      <c r="R106" s="148">
        <f t="shared" si="30"/>
        <v>12832.121617727991</v>
      </c>
      <c r="S106" s="148">
        <f t="shared" si="30"/>
        <v>12832.121617727991</v>
      </c>
    </row>
    <row r="107" spans="1:19" s="9" customFormat="1" ht="35.1" customHeight="1">
      <c r="A107" s="31"/>
      <c r="B107" s="125"/>
      <c r="C107" s="125" t="str">
        <f>+IFERROR(VLOOKUP($B107, 'Services to Beneficiaries'!$B$7:$C$17, 2, 0), " ")</f>
        <v xml:space="preserve"> </v>
      </c>
      <c r="D107" s="32" t="s">
        <v>224</v>
      </c>
      <c r="E107" s="34" t="s">
        <v>225</v>
      </c>
      <c r="F107" s="34">
        <v>1</v>
      </c>
      <c r="G107" s="34" t="s">
        <v>165</v>
      </c>
      <c r="H107" s="34">
        <v>24</v>
      </c>
      <c r="I107" s="34" t="s">
        <v>96</v>
      </c>
      <c r="J107" s="116">
        <v>0.27</v>
      </c>
      <c r="K107" s="119">
        <v>2428.5128445919472</v>
      </c>
      <c r="L107" s="128">
        <v>15736.763232955818</v>
      </c>
      <c r="M107" s="128">
        <v>3147.3526465911636</v>
      </c>
      <c r="N107" s="128">
        <v>3147.3526465911636</v>
      </c>
      <c r="O107" s="128">
        <v>3147.3526465911636</v>
      </c>
      <c r="P107" s="128">
        <v>3147.3526465911636</v>
      </c>
      <c r="Q107" s="128">
        <v>3147.3526465911636</v>
      </c>
      <c r="R107" s="128">
        <v>7868.3816164779091</v>
      </c>
      <c r="S107" s="128">
        <v>7868.3816164779091</v>
      </c>
    </row>
    <row r="108" spans="1:19" s="9" customFormat="1" ht="35.1" customHeight="1">
      <c r="A108" s="31"/>
      <c r="B108" s="125"/>
      <c r="C108" s="125" t="str">
        <f>+IFERROR(VLOOKUP($B108, 'Services to Beneficiaries'!$B$7:$C$17, 2, 0), " ")</f>
        <v xml:space="preserve"> </v>
      </c>
      <c r="D108" s="32" t="s">
        <v>226</v>
      </c>
      <c r="E108" s="34" t="s">
        <v>227</v>
      </c>
      <c r="F108" s="34">
        <v>1</v>
      </c>
      <c r="G108" s="34" t="s">
        <v>165</v>
      </c>
      <c r="H108" s="34">
        <v>24</v>
      </c>
      <c r="I108" s="34" t="s">
        <v>96</v>
      </c>
      <c r="J108" s="116">
        <v>0.3</v>
      </c>
      <c r="K108" s="119">
        <v>304.89803447482075</v>
      </c>
      <c r="L108" s="128">
        <v>2195.2658482187089</v>
      </c>
      <c r="M108" s="128">
        <v>439.0531696437418</v>
      </c>
      <c r="N108" s="128">
        <v>439.0531696437418</v>
      </c>
      <c r="O108" s="128">
        <v>439.0531696437418</v>
      </c>
      <c r="P108" s="128">
        <v>439.0531696437418</v>
      </c>
      <c r="Q108" s="128">
        <v>439.0531696437418</v>
      </c>
      <c r="R108" s="128">
        <v>1097.6329241093545</v>
      </c>
      <c r="S108" s="128">
        <v>1097.6329241093545</v>
      </c>
    </row>
    <row r="109" spans="1:19" s="9" customFormat="1" ht="35.1" customHeight="1">
      <c r="A109" s="31"/>
      <c r="B109" s="125"/>
      <c r="C109" s="125" t="str">
        <f>+IFERROR(VLOOKUP($B109, 'Services to Beneficiaries'!$B$7:$C$17, 2, 0), " ")</f>
        <v xml:space="preserve"> </v>
      </c>
      <c r="D109" s="32" t="s">
        <v>228</v>
      </c>
      <c r="E109" s="34" t="s">
        <v>229</v>
      </c>
      <c r="F109" s="34">
        <v>8</v>
      </c>
      <c r="G109" s="34" t="s">
        <v>165</v>
      </c>
      <c r="H109" s="34">
        <v>24</v>
      </c>
      <c r="I109" s="34" t="s">
        <v>96</v>
      </c>
      <c r="J109" s="116">
        <v>1</v>
      </c>
      <c r="K109" s="119">
        <v>24.39184275798566</v>
      </c>
      <c r="L109" s="128">
        <v>4683.233809533247</v>
      </c>
      <c r="M109" s="128">
        <v>936.64676190664943</v>
      </c>
      <c r="N109" s="128">
        <v>936.64676190664943</v>
      </c>
      <c r="O109" s="128">
        <v>936.64676190664943</v>
      </c>
      <c r="P109" s="128">
        <v>936.64676190664943</v>
      </c>
      <c r="Q109" s="128">
        <v>936.64676190664943</v>
      </c>
      <c r="R109" s="128">
        <v>2341.6169047666235</v>
      </c>
      <c r="S109" s="128">
        <v>2341.6169047666235</v>
      </c>
    </row>
    <row r="110" spans="1:19" s="9" customFormat="1" ht="35.1" customHeight="1">
      <c r="A110" s="31"/>
      <c r="B110" s="125"/>
      <c r="C110" s="125" t="str">
        <f>+IFERROR(VLOOKUP($B110, 'Services to Beneficiaries'!$B$7:$C$17, 2, 0), " ")</f>
        <v xml:space="preserve"> </v>
      </c>
      <c r="D110" s="32" t="s">
        <v>228</v>
      </c>
      <c r="E110" s="34" t="s">
        <v>230</v>
      </c>
      <c r="F110" s="34">
        <v>1</v>
      </c>
      <c r="G110" s="34" t="s">
        <v>165</v>
      </c>
      <c r="H110" s="34">
        <v>1</v>
      </c>
      <c r="I110" s="34" t="s">
        <v>165</v>
      </c>
      <c r="J110" s="116">
        <v>1</v>
      </c>
      <c r="K110" s="119">
        <v>3048.9803447482077</v>
      </c>
      <c r="L110" s="128">
        <v>3048.9803447482077</v>
      </c>
      <c r="M110" s="128">
        <v>609.79606894964149</v>
      </c>
      <c r="N110" s="128">
        <v>609.79606894964149</v>
      </c>
      <c r="O110" s="128">
        <v>609.79606894964149</v>
      </c>
      <c r="P110" s="128">
        <v>609.79606894964149</v>
      </c>
      <c r="Q110" s="128">
        <v>609.79606894964149</v>
      </c>
      <c r="R110" s="128">
        <v>1524.4901723741038</v>
      </c>
      <c r="S110" s="128">
        <v>1524.4901723741038</v>
      </c>
    </row>
    <row r="111" spans="1:19" s="10" customFormat="1" ht="35.1" customHeight="1">
      <c r="A111" s="9"/>
      <c r="B111" s="24"/>
      <c r="C111" s="24"/>
      <c r="D111" s="24" t="s">
        <v>231</v>
      </c>
      <c r="E111" s="25" t="s">
        <v>232</v>
      </c>
      <c r="F111" s="25"/>
      <c r="G111" s="25"/>
      <c r="H111" s="25"/>
      <c r="I111" s="25"/>
      <c r="J111" s="115"/>
      <c r="K111" s="28"/>
      <c r="L111" s="145">
        <f t="shared" ref="L111:S111" si="31">SUM(L112,L114)</f>
        <v>67665.487097477424</v>
      </c>
      <c r="M111" s="145">
        <f t="shared" si="31"/>
        <v>13533.097419495485</v>
      </c>
      <c r="N111" s="145">
        <f t="shared" si="31"/>
        <v>13533.097419495485</v>
      </c>
      <c r="O111" s="145">
        <f t="shared" si="31"/>
        <v>13533.097419495485</v>
      </c>
      <c r="P111" s="145">
        <f t="shared" si="31"/>
        <v>13533.097419495485</v>
      </c>
      <c r="Q111" s="145">
        <f t="shared" si="31"/>
        <v>13533.097419495485</v>
      </c>
      <c r="R111" s="145">
        <f t="shared" si="31"/>
        <v>33832.743548738712</v>
      </c>
      <c r="S111" s="145">
        <f t="shared" si="31"/>
        <v>33832.743548738712</v>
      </c>
    </row>
    <row r="112" spans="1:19" s="39" customFormat="1" ht="35.1" customHeight="1">
      <c r="B112" s="40"/>
      <c r="C112" s="40"/>
      <c r="D112" s="40" t="s">
        <v>233</v>
      </c>
      <c r="E112" s="40" t="s">
        <v>234</v>
      </c>
      <c r="F112" s="40"/>
      <c r="G112" s="40"/>
      <c r="H112" s="40"/>
      <c r="I112" s="40"/>
      <c r="J112" s="118"/>
      <c r="K112" s="40"/>
      <c r="L112" s="208">
        <f t="shared" ref="L112:S112" si="32">SUM(L113)</f>
        <v>0</v>
      </c>
      <c r="M112" s="208">
        <f t="shared" si="32"/>
        <v>0</v>
      </c>
      <c r="N112" s="208">
        <f t="shared" si="32"/>
        <v>0</v>
      </c>
      <c r="O112" s="208">
        <f t="shared" si="32"/>
        <v>0</v>
      </c>
      <c r="P112" s="208">
        <f t="shared" si="32"/>
        <v>0</v>
      </c>
      <c r="Q112" s="208">
        <f t="shared" si="32"/>
        <v>0</v>
      </c>
      <c r="R112" s="208">
        <f t="shared" si="32"/>
        <v>0</v>
      </c>
      <c r="S112" s="208">
        <f t="shared" si="32"/>
        <v>0</v>
      </c>
    </row>
    <row r="113" spans="1:19" s="9" customFormat="1" ht="35.1" customHeight="1">
      <c r="A113" s="31"/>
      <c r="B113" s="125"/>
      <c r="C113" s="125" t="str">
        <f>+IFERROR(VLOOKUP($B113, 'Services to Beneficiaries'!$B$7:$C$17, 2, 0), " ")</f>
        <v xml:space="preserve"> </v>
      </c>
      <c r="D113" s="32" t="s">
        <v>235</v>
      </c>
      <c r="E113" s="34"/>
      <c r="F113" s="34"/>
      <c r="G113" s="34"/>
      <c r="H113" s="34"/>
      <c r="I113" s="34"/>
      <c r="J113" s="116"/>
      <c r="K113" s="34">
        <v>0</v>
      </c>
      <c r="L113" s="128">
        <v>0</v>
      </c>
      <c r="M113" s="128">
        <v>0</v>
      </c>
      <c r="N113" s="128">
        <v>0</v>
      </c>
      <c r="O113" s="128">
        <v>0</v>
      </c>
      <c r="P113" s="128">
        <v>0</v>
      </c>
      <c r="Q113" s="128">
        <v>0</v>
      </c>
      <c r="R113" s="128">
        <v>0</v>
      </c>
      <c r="S113" s="128">
        <v>0</v>
      </c>
    </row>
    <row r="114" spans="1:19" s="39" customFormat="1" ht="35.1" customHeight="1">
      <c r="B114" s="40"/>
      <c r="C114" s="40"/>
      <c r="D114" s="40" t="s">
        <v>236</v>
      </c>
      <c r="E114" s="40" t="s">
        <v>237</v>
      </c>
      <c r="F114" s="40"/>
      <c r="G114" s="40"/>
      <c r="H114" s="40"/>
      <c r="I114" s="40"/>
      <c r="J114" s="118"/>
      <c r="K114" s="40"/>
      <c r="L114" s="146">
        <f t="shared" ref="L114:S114" si="33">SUM(L115:L120)</f>
        <v>67665.487097477424</v>
      </c>
      <c r="M114" s="146">
        <f t="shared" si="33"/>
        <v>13533.097419495485</v>
      </c>
      <c r="N114" s="146">
        <f t="shared" si="33"/>
        <v>13533.097419495485</v>
      </c>
      <c r="O114" s="146">
        <f t="shared" si="33"/>
        <v>13533.097419495485</v>
      </c>
      <c r="P114" s="146">
        <f t="shared" si="33"/>
        <v>13533.097419495485</v>
      </c>
      <c r="Q114" s="146">
        <f t="shared" si="33"/>
        <v>13533.097419495485</v>
      </c>
      <c r="R114" s="146">
        <f t="shared" si="33"/>
        <v>33832.743548738712</v>
      </c>
      <c r="S114" s="146">
        <f t="shared" si="33"/>
        <v>33832.743548738712</v>
      </c>
    </row>
    <row r="115" spans="1:19" s="9" customFormat="1" ht="35.1" customHeight="1">
      <c r="A115" s="31"/>
      <c r="B115" s="125"/>
      <c r="C115" s="125" t="str">
        <f>+IFERROR(VLOOKUP($B115, 'Services to Beneficiaries'!$B$7:$C$17, 2, 0), " ")</f>
        <v xml:space="preserve"> </v>
      </c>
      <c r="D115" s="32" t="s">
        <v>238</v>
      </c>
      <c r="E115" s="34" t="s">
        <v>239</v>
      </c>
      <c r="F115" s="34">
        <v>1</v>
      </c>
      <c r="G115" s="34" t="s">
        <v>165</v>
      </c>
      <c r="H115" s="34">
        <v>24</v>
      </c>
      <c r="I115" s="34" t="s">
        <v>96</v>
      </c>
      <c r="J115" s="116">
        <v>0.27</v>
      </c>
      <c r="K115" s="119">
        <v>5122.286979176989</v>
      </c>
      <c r="L115" s="128">
        <v>33192.41962506689</v>
      </c>
      <c r="M115" s="128">
        <v>6638.4839250133782</v>
      </c>
      <c r="N115" s="128">
        <v>6638.4839250133782</v>
      </c>
      <c r="O115" s="128">
        <v>6638.4839250133782</v>
      </c>
      <c r="P115" s="128">
        <v>6638.4839250133782</v>
      </c>
      <c r="Q115" s="128">
        <v>6638.4839250133782</v>
      </c>
      <c r="R115" s="128">
        <v>16596.209812533445</v>
      </c>
      <c r="S115" s="128">
        <v>16596.209812533445</v>
      </c>
    </row>
    <row r="116" spans="1:19" s="9" customFormat="1" ht="35.1" customHeight="1">
      <c r="A116" s="31"/>
      <c r="B116" s="125"/>
      <c r="C116" s="125" t="str">
        <f>+IFERROR(VLOOKUP($B116, 'Services to Beneficiaries'!$B$7:$C$17, 2, 0), " ")</f>
        <v xml:space="preserve"> </v>
      </c>
      <c r="D116" s="32" t="s">
        <v>240</v>
      </c>
      <c r="E116" s="34" t="s">
        <v>241</v>
      </c>
      <c r="F116" s="34">
        <v>1</v>
      </c>
      <c r="G116" s="34" t="s">
        <v>165</v>
      </c>
      <c r="H116" s="34">
        <v>24</v>
      </c>
      <c r="I116" s="34" t="s">
        <v>96</v>
      </c>
      <c r="J116" s="116">
        <v>0.27</v>
      </c>
      <c r="K116" s="119">
        <v>1794.7426431915508</v>
      </c>
      <c r="L116" s="128">
        <v>11629.93232788125</v>
      </c>
      <c r="M116" s="128">
        <v>2325.9864655762499</v>
      </c>
      <c r="N116" s="128">
        <v>2325.9864655762499</v>
      </c>
      <c r="O116" s="128">
        <v>2325.9864655762499</v>
      </c>
      <c r="P116" s="128">
        <v>2325.9864655762499</v>
      </c>
      <c r="Q116" s="128">
        <v>2325.9864655762499</v>
      </c>
      <c r="R116" s="128">
        <v>5814.9661639406249</v>
      </c>
      <c r="S116" s="128">
        <v>5814.9661639406249</v>
      </c>
    </row>
    <row r="117" spans="1:19" s="9" customFormat="1" ht="35.1" customHeight="1">
      <c r="A117" s="31"/>
      <c r="B117" s="125"/>
      <c r="C117" s="125" t="str">
        <f>+IFERROR(VLOOKUP($B117, 'Services to Beneficiaries'!$B$7:$C$17, 2, 0), " ")</f>
        <v xml:space="preserve"> </v>
      </c>
      <c r="D117" s="32" t="s">
        <v>242</v>
      </c>
      <c r="E117" s="34" t="s">
        <v>243</v>
      </c>
      <c r="F117" s="34">
        <v>1</v>
      </c>
      <c r="G117" s="34" t="s">
        <v>165</v>
      </c>
      <c r="H117" s="34">
        <v>24</v>
      </c>
      <c r="I117" s="34" t="s">
        <v>96</v>
      </c>
      <c r="J117" s="116">
        <v>0.27</v>
      </c>
      <c r="K117" s="119">
        <v>1079.3390420408655</v>
      </c>
      <c r="L117" s="128">
        <v>6994.1169924248088</v>
      </c>
      <c r="M117" s="128">
        <v>1398.8233984849617</v>
      </c>
      <c r="N117" s="128">
        <v>1398.8233984849617</v>
      </c>
      <c r="O117" s="128">
        <v>1398.8233984849617</v>
      </c>
      <c r="P117" s="128">
        <v>1398.8233984849617</v>
      </c>
      <c r="Q117" s="128">
        <v>1398.8233984849617</v>
      </c>
      <c r="R117" s="128">
        <v>3497.0584962124044</v>
      </c>
      <c r="S117" s="128">
        <v>3497.0584962124044</v>
      </c>
    </row>
    <row r="118" spans="1:19" s="9" customFormat="1" ht="35.1" customHeight="1">
      <c r="A118" s="31"/>
      <c r="B118" s="125"/>
      <c r="C118" s="125" t="str">
        <f>+IFERROR(VLOOKUP($B118, 'Services to Beneficiaries'!$B$7:$C$17, 2, 0), " ")</f>
        <v xml:space="preserve"> </v>
      </c>
      <c r="D118" s="32" t="s">
        <v>244</v>
      </c>
      <c r="E118" s="34" t="s">
        <v>245</v>
      </c>
      <c r="F118" s="34">
        <v>1</v>
      </c>
      <c r="G118" s="34" t="s">
        <v>165</v>
      </c>
      <c r="H118" s="34">
        <v>24</v>
      </c>
      <c r="I118" s="34" t="s">
        <v>96</v>
      </c>
      <c r="J118" s="116">
        <v>0.29849999999999999</v>
      </c>
      <c r="K118" s="119">
        <v>228.67352585611556</v>
      </c>
      <c r="L118" s="128">
        <v>1638.217139233212</v>
      </c>
      <c r="M118" s="128">
        <v>327.6434278466424</v>
      </c>
      <c r="N118" s="128">
        <v>327.6434278466424</v>
      </c>
      <c r="O118" s="128">
        <v>327.6434278466424</v>
      </c>
      <c r="P118" s="128">
        <v>327.6434278466424</v>
      </c>
      <c r="Q118" s="128">
        <v>327.6434278466424</v>
      </c>
      <c r="R118" s="128">
        <v>819.10856961660602</v>
      </c>
      <c r="S118" s="128">
        <v>819.10856961660602</v>
      </c>
    </row>
    <row r="119" spans="1:19" s="9" customFormat="1" ht="35.1" customHeight="1">
      <c r="A119" s="31"/>
      <c r="B119" s="125"/>
      <c r="C119" s="125" t="str">
        <f>+IFERROR(VLOOKUP($B119, 'Services to Beneficiaries'!$B$7:$C$17, 2, 0), " ")</f>
        <v xml:space="preserve"> </v>
      </c>
      <c r="D119" s="32" t="s">
        <v>246</v>
      </c>
      <c r="E119" s="34" t="s">
        <v>247</v>
      </c>
      <c r="F119" s="34">
        <v>1</v>
      </c>
      <c r="G119" s="34" t="s">
        <v>165</v>
      </c>
      <c r="H119" s="34">
        <v>24</v>
      </c>
      <c r="I119" s="34" t="s">
        <v>96</v>
      </c>
      <c r="J119" s="116">
        <v>0.27</v>
      </c>
      <c r="K119" s="119">
        <v>1125.8817270034469</v>
      </c>
      <c r="L119" s="128">
        <v>7295.7135909823364</v>
      </c>
      <c r="M119" s="128">
        <v>1459.1427181964673</v>
      </c>
      <c r="N119" s="128">
        <v>1459.1427181964673</v>
      </c>
      <c r="O119" s="128">
        <v>1459.1427181964673</v>
      </c>
      <c r="P119" s="128">
        <v>1459.1427181964673</v>
      </c>
      <c r="Q119" s="128">
        <v>1459.1427181964673</v>
      </c>
      <c r="R119" s="128">
        <v>3647.8567954911682</v>
      </c>
      <c r="S119" s="128">
        <v>3647.8567954911682</v>
      </c>
    </row>
    <row r="120" spans="1:19" s="9" customFormat="1" ht="35.1" customHeight="1">
      <c r="A120" s="31"/>
      <c r="B120" s="125"/>
      <c r="C120" s="125" t="str">
        <f>+IFERROR(VLOOKUP($B120, 'Services to Beneficiaries'!$B$7:$C$17, 2, 0), " ")</f>
        <v xml:space="preserve"> </v>
      </c>
      <c r="D120" s="32" t="s">
        <v>248</v>
      </c>
      <c r="E120" s="34" t="s">
        <v>249</v>
      </c>
      <c r="F120" s="34">
        <v>1</v>
      </c>
      <c r="G120" s="34" t="s">
        <v>165</v>
      </c>
      <c r="H120" s="34">
        <v>24</v>
      </c>
      <c r="I120" s="34" t="s">
        <v>96</v>
      </c>
      <c r="J120" s="116">
        <v>0.27</v>
      </c>
      <c r="K120" s="119">
        <v>1067.1431206618727</v>
      </c>
      <c r="L120" s="128">
        <v>6915.0874218889348</v>
      </c>
      <c r="M120" s="128">
        <v>1383.017484377787</v>
      </c>
      <c r="N120" s="128">
        <v>1383.017484377787</v>
      </c>
      <c r="O120" s="128">
        <v>1383.017484377787</v>
      </c>
      <c r="P120" s="128">
        <v>1383.017484377787</v>
      </c>
      <c r="Q120" s="128">
        <v>1383.017484377787</v>
      </c>
      <c r="R120" s="128">
        <v>3457.5437109444674</v>
      </c>
      <c r="S120" s="128">
        <v>3457.5437109444674</v>
      </c>
    </row>
    <row r="121" spans="1:19" s="10" customFormat="1" ht="35.1" customHeight="1">
      <c r="A121" s="9"/>
      <c r="B121" s="24"/>
      <c r="C121" s="24"/>
      <c r="D121" s="24" t="s">
        <v>250</v>
      </c>
      <c r="E121" s="25" t="s">
        <v>251</v>
      </c>
      <c r="F121" s="25"/>
      <c r="G121" s="25"/>
      <c r="H121" s="25"/>
      <c r="I121" s="25"/>
      <c r="J121" s="115"/>
      <c r="K121" s="28"/>
      <c r="L121" s="145">
        <f t="shared" ref="L121:S121" si="34">SUM(L122)</f>
        <v>0</v>
      </c>
      <c r="M121" s="145">
        <f t="shared" si="34"/>
        <v>0</v>
      </c>
      <c r="N121" s="145">
        <f t="shared" si="34"/>
        <v>0</v>
      </c>
      <c r="O121" s="145">
        <f t="shared" si="34"/>
        <v>0</v>
      </c>
      <c r="P121" s="145">
        <f t="shared" si="34"/>
        <v>0</v>
      </c>
      <c r="Q121" s="145">
        <f t="shared" si="34"/>
        <v>0</v>
      </c>
      <c r="R121" s="145">
        <f t="shared" si="34"/>
        <v>0</v>
      </c>
      <c r="S121" s="145">
        <f t="shared" si="34"/>
        <v>0</v>
      </c>
    </row>
    <row r="122" spans="1:19" s="9" customFormat="1" ht="35.1" customHeight="1">
      <c r="A122" s="31"/>
      <c r="B122" s="125"/>
      <c r="C122" s="125" t="str">
        <f>+IFERROR(VLOOKUP($B122, 'Services to Beneficiaries'!$B$7:$C$17, 2, 0), " ")</f>
        <v xml:space="preserve"> </v>
      </c>
      <c r="D122" s="32" t="s">
        <v>252</v>
      </c>
      <c r="E122" s="34"/>
      <c r="F122" s="34"/>
      <c r="G122" s="34"/>
      <c r="H122" s="34"/>
      <c r="I122" s="34"/>
      <c r="J122" s="116"/>
      <c r="K122" s="34">
        <v>0</v>
      </c>
      <c r="L122" s="128">
        <v>0</v>
      </c>
      <c r="M122" s="128">
        <v>0</v>
      </c>
      <c r="N122" s="128">
        <v>0</v>
      </c>
      <c r="O122" s="128">
        <v>0</v>
      </c>
      <c r="P122" s="128">
        <v>0</v>
      </c>
      <c r="Q122" s="128">
        <v>0</v>
      </c>
      <c r="R122" s="128">
        <v>0</v>
      </c>
      <c r="S122" s="128">
        <v>0</v>
      </c>
    </row>
    <row r="123" spans="1:19" s="5" customFormat="1" ht="34.65" customHeight="1">
      <c r="B123" s="6"/>
      <c r="C123" s="6"/>
      <c r="D123" s="6" t="s">
        <v>253</v>
      </c>
      <c r="E123" s="7" t="s">
        <v>254</v>
      </c>
      <c r="F123" s="7"/>
      <c r="G123" s="7"/>
      <c r="H123" s="7"/>
      <c r="I123" s="7"/>
      <c r="J123" s="113"/>
      <c r="K123" s="122"/>
      <c r="L123" s="149">
        <f t="shared" ref="L123:S123" si="35">SUM(L124:L125)</f>
        <v>15937.394265402843</v>
      </c>
      <c r="M123" s="149">
        <f t="shared" si="35"/>
        <v>3471.8601034244621</v>
      </c>
      <c r="N123" s="149">
        <f t="shared" si="35"/>
        <v>3471.8601034244621</v>
      </c>
      <c r="O123" s="149">
        <f t="shared" si="35"/>
        <v>3471.8601034244621</v>
      </c>
      <c r="P123" s="149">
        <f t="shared" si="35"/>
        <v>3471.8601034244621</v>
      </c>
      <c r="Q123" s="149">
        <f t="shared" si="35"/>
        <v>3471.8601034244621</v>
      </c>
      <c r="R123" s="149">
        <f t="shared" si="35"/>
        <v>0</v>
      </c>
      <c r="S123" s="149">
        <f t="shared" si="35"/>
        <v>17359.29</v>
      </c>
    </row>
    <row r="124" spans="1:19" s="9" customFormat="1" ht="35.1" customHeight="1">
      <c r="A124" s="31"/>
      <c r="B124" s="125"/>
      <c r="C124" s="125" t="str">
        <f>+IFERROR(VLOOKUP($B124, 'Services to Beneficiaries'!$B$7:$C$17, 2, 0), " ")</f>
        <v xml:space="preserve"> </v>
      </c>
      <c r="D124" s="32" t="s">
        <v>255</v>
      </c>
      <c r="E124" s="34" t="s">
        <v>256</v>
      </c>
      <c r="F124" s="34">
        <v>1</v>
      </c>
      <c r="G124" s="34" t="s">
        <v>257</v>
      </c>
      <c r="H124" s="34">
        <v>1</v>
      </c>
      <c r="I124" s="34" t="s">
        <v>165</v>
      </c>
      <c r="J124" s="116">
        <v>1</v>
      </c>
      <c r="K124" s="119">
        <v>8863.1042654028442</v>
      </c>
      <c r="L124" s="128">
        <v>8863.1042654028442</v>
      </c>
      <c r="M124" s="128">
        <v>2057</v>
      </c>
      <c r="N124" s="128">
        <v>2057</v>
      </c>
      <c r="O124" s="128">
        <v>2057</v>
      </c>
      <c r="P124" s="128">
        <v>2057</v>
      </c>
      <c r="Q124" s="128">
        <v>2057</v>
      </c>
      <c r="R124" s="128">
        <v>0</v>
      </c>
      <c r="S124" s="128">
        <v>10285</v>
      </c>
    </row>
    <row r="125" spans="1:19" s="9" customFormat="1" ht="35.1" customHeight="1">
      <c r="A125" s="31"/>
      <c r="B125" s="125"/>
      <c r="C125" s="125" t="str">
        <f>+IFERROR(VLOOKUP($B125, 'Services to Beneficiaries'!$B$7:$C$17, 2, 0), " ")</f>
        <v xml:space="preserve"> </v>
      </c>
      <c r="D125" s="32" t="s">
        <v>258</v>
      </c>
      <c r="E125" s="34" t="s">
        <v>259</v>
      </c>
      <c r="F125" s="34">
        <v>1</v>
      </c>
      <c r="G125" s="34" t="s">
        <v>260</v>
      </c>
      <c r="H125" s="34">
        <v>1</v>
      </c>
      <c r="I125" s="34" t="s">
        <v>165</v>
      </c>
      <c r="J125" s="116">
        <v>1</v>
      </c>
      <c r="K125" s="201">
        <v>7074.3005171223103</v>
      </c>
      <c r="L125" s="128">
        <v>7074.29</v>
      </c>
      <c r="M125" s="128">
        <v>1414.8601034244621</v>
      </c>
      <c r="N125" s="128">
        <v>1414.8601034244621</v>
      </c>
      <c r="O125" s="128">
        <v>1414.8601034244621</v>
      </c>
      <c r="P125" s="128">
        <v>1414.8601034244621</v>
      </c>
      <c r="Q125" s="128">
        <v>1414.8601034244621</v>
      </c>
      <c r="R125" s="128">
        <v>0</v>
      </c>
      <c r="S125" s="128">
        <v>7074.29</v>
      </c>
    </row>
    <row r="126" spans="1:19" s="5" customFormat="1" ht="34.65" customHeight="1">
      <c r="B126" s="6"/>
      <c r="C126" s="6"/>
      <c r="D126" s="6" t="s">
        <v>261</v>
      </c>
      <c r="E126" s="7" t="s">
        <v>262</v>
      </c>
      <c r="F126" s="7"/>
      <c r="G126" s="7"/>
      <c r="H126" s="7"/>
      <c r="I126" s="7"/>
      <c r="J126" s="113"/>
      <c r="K126" s="114"/>
      <c r="L126" s="149">
        <f t="shared" ref="L126:S126" si="36">SUM(L128,L135,L141,L146,L153,L158)</f>
        <v>652875.1086427921</v>
      </c>
      <c r="M126" s="149">
        <f t="shared" si="36"/>
        <v>279397.73719923716</v>
      </c>
      <c r="N126" s="149">
        <f t="shared" si="36"/>
        <v>106568.17672499873</v>
      </c>
      <c r="O126" s="149">
        <f t="shared" si="36"/>
        <v>165162.33457376019</v>
      </c>
      <c r="P126" s="149">
        <f t="shared" si="36"/>
        <v>37936.513369016568</v>
      </c>
      <c r="Q126" s="149">
        <f t="shared" si="36"/>
        <v>63810.346775779515</v>
      </c>
      <c r="R126" s="149">
        <f t="shared" si="36"/>
        <v>458522.87419808004</v>
      </c>
      <c r="S126" s="149">
        <f t="shared" si="36"/>
        <v>194352.23878874679</v>
      </c>
    </row>
    <row r="127" spans="1:19" s="13" customFormat="1" ht="13.2">
      <c r="A127" s="9"/>
      <c r="B127" s="86"/>
      <c r="C127" s="86"/>
      <c r="D127" s="86"/>
      <c r="E127" s="265"/>
      <c r="F127" s="265"/>
      <c r="G127" s="265"/>
      <c r="H127" s="265"/>
      <c r="I127" s="265"/>
      <c r="J127" s="265"/>
      <c r="K127" s="93"/>
      <c r="L127" s="133"/>
      <c r="M127" s="133"/>
      <c r="N127" s="133"/>
      <c r="O127" s="133"/>
      <c r="P127" s="133"/>
      <c r="Q127" s="133"/>
      <c r="R127" s="133"/>
      <c r="S127" s="133"/>
    </row>
    <row r="128" spans="1:19" s="10" customFormat="1" ht="35.1" customHeight="1">
      <c r="A128" s="9"/>
      <c r="B128" s="24"/>
      <c r="C128" s="24"/>
      <c r="D128" s="24" t="s">
        <v>263</v>
      </c>
      <c r="E128" s="196" t="s">
        <v>264</v>
      </c>
      <c r="F128" s="197"/>
      <c r="G128" s="197"/>
      <c r="H128" s="197"/>
      <c r="I128" s="197"/>
      <c r="J128" s="198"/>
      <c r="K128" s="97"/>
      <c r="L128" s="145">
        <f t="shared" ref="L128:S128" si="37">SUM(L129:L133)</f>
        <v>19301.73395512205</v>
      </c>
      <c r="M128" s="145">
        <f t="shared" si="37"/>
        <v>3860.3467910244108</v>
      </c>
      <c r="N128" s="145">
        <f t="shared" si="37"/>
        <v>3860.3467910244108</v>
      </c>
      <c r="O128" s="145">
        <f t="shared" si="37"/>
        <v>3860.3467910244108</v>
      </c>
      <c r="P128" s="145">
        <f t="shared" si="37"/>
        <v>3860.3467910244108</v>
      </c>
      <c r="Q128" s="145">
        <f t="shared" si="37"/>
        <v>3860.3467910244108</v>
      </c>
      <c r="R128" s="145">
        <f t="shared" si="37"/>
        <v>16740.590465533558</v>
      </c>
      <c r="S128" s="145">
        <f t="shared" si="37"/>
        <v>2561.1434895884927</v>
      </c>
    </row>
    <row r="129" spans="1:19" s="123" customFormat="1" ht="35.1" customHeight="1">
      <c r="A129" s="124"/>
      <c r="B129" s="125"/>
      <c r="C129" s="125" t="str">
        <f>+IFERROR(VLOOKUP($B129, 'Services to Beneficiaries'!$B$7:$C$17, 2, 0), " ")</f>
        <v xml:space="preserve"> </v>
      </c>
      <c r="D129" s="125" t="s">
        <v>265</v>
      </c>
      <c r="E129" s="126" t="s">
        <v>266</v>
      </c>
      <c r="F129" s="126">
        <v>1</v>
      </c>
      <c r="G129" s="182" t="s">
        <v>267</v>
      </c>
      <c r="H129" s="126">
        <v>1</v>
      </c>
      <c r="I129" s="183" t="s">
        <v>165</v>
      </c>
      <c r="J129" s="187">
        <v>1</v>
      </c>
      <c r="K129" s="119">
        <v>2744.0823102733871</v>
      </c>
      <c r="L129" s="188">
        <v>2744.0823102733871</v>
      </c>
      <c r="M129" s="128">
        <v>548.81646205467746</v>
      </c>
      <c r="N129" s="128">
        <v>548.81646205467746</v>
      </c>
      <c r="O129" s="128">
        <v>548.81646205467746</v>
      </c>
      <c r="P129" s="128">
        <v>548.81646205467746</v>
      </c>
      <c r="Q129" s="128">
        <v>548.81646205467746</v>
      </c>
      <c r="R129" s="128">
        <v>2744.0823102733871</v>
      </c>
      <c r="S129" s="128">
        <v>0</v>
      </c>
    </row>
    <row r="130" spans="1:19" s="123" customFormat="1" ht="35.1" customHeight="1">
      <c r="A130" s="124"/>
      <c r="B130" s="125"/>
      <c r="C130" s="125" t="str">
        <f>+IFERROR(VLOOKUP($B130, 'Services to Beneficiaries'!$B$7:$C$17, 2, 0), " ")</f>
        <v xml:space="preserve"> </v>
      </c>
      <c r="D130" s="125" t="s">
        <v>268</v>
      </c>
      <c r="E130" s="126" t="s">
        <v>269</v>
      </c>
      <c r="F130" s="126">
        <v>1</v>
      </c>
      <c r="G130" s="182" t="s">
        <v>270</v>
      </c>
      <c r="H130" s="126">
        <v>1</v>
      </c>
      <c r="I130" s="183" t="s">
        <v>165</v>
      </c>
      <c r="J130" s="187">
        <v>1</v>
      </c>
      <c r="K130" s="119">
        <v>2730.3618987220198</v>
      </c>
      <c r="L130" s="188">
        <v>2730.3618987220198</v>
      </c>
      <c r="M130" s="128">
        <v>546.07237974440397</v>
      </c>
      <c r="N130" s="128">
        <v>546.07237974440397</v>
      </c>
      <c r="O130" s="128">
        <v>546.07237974440397</v>
      </c>
      <c r="P130" s="128">
        <v>546.07237974440397</v>
      </c>
      <c r="Q130" s="128">
        <v>546.07237974440397</v>
      </c>
      <c r="R130" s="128">
        <v>2730.3618987220198</v>
      </c>
      <c r="S130" s="128">
        <v>0</v>
      </c>
    </row>
    <row r="131" spans="1:19" s="123" customFormat="1" ht="35.1" customHeight="1">
      <c r="A131" s="124"/>
      <c r="B131" s="125"/>
      <c r="C131" s="125" t="str">
        <f>+IFERROR(VLOOKUP($B131, 'Services to Beneficiaries'!$B$7:$C$17, 2, 0), " ")</f>
        <v xml:space="preserve"> </v>
      </c>
      <c r="D131" s="125" t="s">
        <v>271</v>
      </c>
      <c r="E131" s="126" t="s">
        <v>272</v>
      </c>
      <c r="F131" s="126">
        <v>4</v>
      </c>
      <c r="G131" s="182" t="s">
        <v>216</v>
      </c>
      <c r="H131" s="126">
        <v>24</v>
      </c>
      <c r="I131" s="183" t="s">
        <v>96</v>
      </c>
      <c r="J131" s="187">
        <v>1</v>
      </c>
      <c r="K131" s="119">
        <v>53.357156033093595</v>
      </c>
      <c r="L131" s="188">
        <v>5122.2869791769854</v>
      </c>
      <c r="M131" s="128">
        <v>1024.4573958353972</v>
      </c>
      <c r="N131" s="128">
        <v>1024.4573958353972</v>
      </c>
      <c r="O131" s="128">
        <v>1024.4573958353972</v>
      </c>
      <c r="P131" s="128">
        <v>1024.4573958353972</v>
      </c>
      <c r="Q131" s="128">
        <v>1024.4573958353972</v>
      </c>
      <c r="R131" s="128">
        <v>2561.1434895884927</v>
      </c>
      <c r="S131" s="128">
        <v>2561.1434895884927</v>
      </c>
    </row>
    <row r="132" spans="1:19" s="123" customFormat="1" ht="35.1" customHeight="1">
      <c r="A132" s="124"/>
      <c r="B132" s="125"/>
      <c r="C132" s="125" t="str">
        <f>+IFERROR(VLOOKUP($B132, 'Services to Beneficiaries'!$B$7:$C$17, 2, 0), " ")</f>
        <v xml:space="preserve"> </v>
      </c>
      <c r="D132" s="125" t="s">
        <v>273</v>
      </c>
      <c r="E132" s="126" t="s">
        <v>274</v>
      </c>
      <c r="F132" s="126">
        <v>1</v>
      </c>
      <c r="G132" s="182" t="s">
        <v>260</v>
      </c>
      <c r="H132" s="126">
        <v>1</v>
      </c>
      <c r="I132" s="183" t="s">
        <v>165</v>
      </c>
      <c r="J132" s="187">
        <v>1</v>
      </c>
      <c r="K132" s="119">
        <f>8705.00276694966-2000</f>
        <v>6705.0027669496594</v>
      </c>
      <c r="L132" s="188">
        <f>K132</f>
        <v>6705.0027669496594</v>
      </c>
      <c r="M132" s="128">
        <f>$K$132/5</f>
        <v>1341.0005533899318</v>
      </c>
      <c r="N132" s="128">
        <f t="shared" ref="N132:Q132" si="38">$K$132/5</f>
        <v>1341.0005533899318</v>
      </c>
      <c r="O132" s="128">
        <f t="shared" si="38"/>
        <v>1341.0005533899318</v>
      </c>
      <c r="P132" s="128">
        <f t="shared" si="38"/>
        <v>1341.0005533899318</v>
      </c>
      <c r="Q132" s="128">
        <f t="shared" si="38"/>
        <v>1341.0005533899318</v>
      </c>
      <c r="R132" s="128">
        <f>K132</f>
        <v>6705.0027669496594</v>
      </c>
      <c r="S132" s="128">
        <v>0</v>
      </c>
    </row>
    <row r="133" spans="1:19" s="123" customFormat="1" ht="35.1" customHeight="1">
      <c r="A133" s="124"/>
      <c r="B133" s="125"/>
      <c r="C133" s="125" t="str">
        <f>+IFERROR(VLOOKUP($B133, 'Services to Beneficiaries'!$B$7:$C$17, 2, 0), " ")</f>
        <v xml:space="preserve"> </v>
      </c>
      <c r="D133" s="125" t="s">
        <v>275</v>
      </c>
      <c r="E133" s="126" t="s">
        <v>276</v>
      </c>
      <c r="F133" s="126">
        <v>1</v>
      </c>
      <c r="G133" s="182" t="s">
        <v>277</v>
      </c>
      <c r="H133" s="126">
        <v>1</v>
      </c>
      <c r="I133" s="183" t="s">
        <v>165</v>
      </c>
      <c r="J133" s="187">
        <v>1</v>
      </c>
      <c r="K133" s="119">
        <v>2000</v>
      </c>
      <c r="L133" s="188">
        <f>K133</f>
        <v>2000</v>
      </c>
      <c r="M133" s="128">
        <f>$K$133/5</f>
        <v>400</v>
      </c>
      <c r="N133" s="128">
        <f t="shared" ref="N133:Q133" si="39">$K$133/5</f>
        <v>400</v>
      </c>
      <c r="O133" s="128">
        <f t="shared" si="39"/>
        <v>400</v>
      </c>
      <c r="P133" s="128">
        <f t="shared" si="39"/>
        <v>400</v>
      </c>
      <c r="Q133" s="128">
        <f t="shared" si="39"/>
        <v>400</v>
      </c>
      <c r="R133" s="128">
        <f>K133</f>
        <v>2000</v>
      </c>
      <c r="S133" s="128">
        <v>0</v>
      </c>
    </row>
    <row r="134" spans="1:19" s="130" customFormat="1" ht="13.2">
      <c r="A134" s="123"/>
      <c r="B134" s="184"/>
      <c r="C134" s="184"/>
      <c r="D134" s="184"/>
      <c r="E134" s="185"/>
      <c r="F134" s="185"/>
      <c r="G134" s="185"/>
      <c r="H134" s="185"/>
      <c r="I134" s="185"/>
      <c r="J134" s="185"/>
      <c r="K134" s="186"/>
      <c r="L134" s="133"/>
      <c r="M134" s="133"/>
      <c r="N134" s="133"/>
      <c r="O134" s="133"/>
      <c r="P134" s="133"/>
      <c r="Q134" s="133"/>
      <c r="R134" s="133"/>
      <c r="S134" s="133"/>
    </row>
    <row r="135" spans="1:19" s="10" customFormat="1" ht="35.1" customHeight="1">
      <c r="A135" s="9"/>
      <c r="B135" s="24"/>
      <c r="C135" s="24"/>
      <c r="D135" s="24" t="s">
        <v>49</v>
      </c>
      <c r="E135" s="257" t="s">
        <v>278</v>
      </c>
      <c r="F135" s="258"/>
      <c r="G135" s="258"/>
      <c r="H135" s="258"/>
      <c r="I135" s="258"/>
      <c r="J135" s="258"/>
      <c r="K135" s="259"/>
      <c r="L135" s="145">
        <f t="shared" ref="L135:S135" si="40">SUM(L136:L140)</f>
        <v>275537.39040821273</v>
      </c>
      <c r="M135" s="145">
        <f t="shared" si="40"/>
        <v>275537.39040821273</v>
      </c>
      <c r="N135" s="145">
        <f t="shared" si="40"/>
        <v>0</v>
      </c>
      <c r="O135" s="145">
        <f t="shared" si="40"/>
        <v>0</v>
      </c>
      <c r="P135" s="145">
        <f t="shared" si="40"/>
        <v>0</v>
      </c>
      <c r="Q135" s="145">
        <f t="shared" si="40"/>
        <v>0</v>
      </c>
      <c r="R135" s="145">
        <f t="shared" si="40"/>
        <v>205169.70687106013</v>
      </c>
      <c r="S135" s="145">
        <f t="shared" si="40"/>
        <v>70367.666871060137</v>
      </c>
    </row>
    <row r="136" spans="1:19" s="39" customFormat="1" ht="29.25" customHeight="1">
      <c r="B136" s="40" t="s">
        <v>14</v>
      </c>
      <c r="C136" s="40" t="str">
        <f>+IFERROR(VLOOKUP($B136, 'Services to Beneficiaries'!$B$7:$C$17, 2, 0), " ")</f>
        <v>Protection    </v>
      </c>
      <c r="D136" s="40" t="s">
        <v>279</v>
      </c>
      <c r="E136" s="254" t="s">
        <v>280</v>
      </c>
      <c r="F136" s="255"/>
      <c r="G136" s="255"/>
      <c r="H136" s="255"/>
      <c r="I136" s="255"/>
      <c r="J136" s="255"/>
      <c r="K136" s="256"/>
      <c r="L136" s="43">
        <v>108143.28378232109</v>
      </c>
      <c r="M136" s="44">
        <v>108143.28378232109</v>
      </c>
      <c r="N136" s="44">
        <v>0</v>
      </c>
      <c r="O136" s="44">
        <v>0</v>
      </c>
      <c r="P136" s="44">
        <v>0</v>
      </c>
      <c r="Q136" s="44">
        <v>0</v>
      </c>
      <c r="R136" s="44">
        <v>97624.299999999988</v>
      </c>
      <c r="S136" s="44">
        <v>10518.98</v>
      </c>
    </row>
    <row r="137" spans="1:19" s="39" customFormat="1" ht="29.25" customHeight="1">
      <c r="B137" s="40" t="s">
        <v>14</v>
      </c>
      <c r="C137" s="40" t="str">
        <f>+IFERROR(VLOOKUP($B137, 'Services to Beneficiaries'!$B$7:$C$17, 2, 0), " ")</f>
        <v>Protection    </v>
      </c>
      <c r="D137" s="40" t="s">
        <v>281</v>
      </c>
      <c r="E137" s="254" t="s">
        <v>282</v>
      </c>
      <c r="F137" s="255"/>
      <c r="G137" s="255"/>
      <c r="H137" s="255"/>
      <c r="I137" s="255"/>
      <c r="J137" s="255"/>
      <c r="K137" s="256"/>
      <c r="L137" s="43">
        <v>106955.69374212029</v>
      </c>
      <c r="M137" s="44">
        <v>106955.69374212029</v>
      </c>
      <c r="N137" s="44">
        <v>0</v>
      </c>
      <c r="O137" s="44">
        <v>0</v>
      </c>
      <c r="P137" s="44">
        <v>0</v>
      </c>
      <c r="Q137" s="44">
        <v>0</v>
      </c>
      <c r="R137" s="44">
        <v>53477.846871060145</v>
      </c>
      <c r="S137" s="44">
        <v>53477.846871060145</v>
      </c>
    </row>
    <row r="138" spans="1:19" s="39" customFormat="1" ht="29.25" customHeight="1">
      <c r="B138" s="40" t="s">
        <v>24</v>
      </c>
      <c r="C138" s="40" t="str">
        <f>+IFERROR(VLOOKUP($B138, 'Services to Beneficiaries'!$B$7:$C$17, 2, 0), " ")</f>
        <v xml:space="preserve">Capacity building related goods and services                                 </v>
      </c>
      <c r="D138" s="40" t="s">
        <v>283</v>
      </c>
      <c r="E138" s="254" t="s">
        <v>284</v>
      </c>
      <c r="F138" s="255"/>
      <c r="G138" s="255"/>
      <c r="H138" s="255"/>
      <c r="I138" s="255"/>
      <c r="J138" s="255"/>
      <c r="K138" s="256"/>
      <c r="L138" s="43">
        <v>32967.099977589998</v>
      </c>
      <c r="M138" s="44">
        <v>32967.099977589998</v>
      </c>
      <c r="N138" s="44">
        <v>0</v>
      </c>
      <c r="O138" s="44">
        <v>0</v>
      </c>
      <c r="P138" s="44">
        <v>0</v>
      </c>
      <c r="Q138" s="44">
        <v>0</v>
      </c>
      <c r="R138" s="44">
        <v>26596.25</v>
      </c>
      <c r="S138" s="44">
        <v>6370.84</v>
      </c>
    </row>
    <row r="139" spans="1:19" s="39" customFormat="1" ht="29.25" customHeight="1">
      <c r="B139" s="40" t="s">
        <v>14</v>
      </c>
      <c r="C139" s="40" t="str">
        <f>+IFERROR(VLOOKUP($B139, 'Services to Beneficiaries'!$B$7:$C$17, 2, 0), " ")</f>
        <v>Protection    </v>
      </c>
      <c r="D139" s="40" t="s">
        <v>285</v>
      </c>
      <c r="E139" s="254" t="s">
        <v>286</v>
      </c>
      <c r="F139" s="255"/>
      <c r="G139" s="255"/>
      <c r="H139" s="255"/>
      <c r="I139" s="255"/>
      <c r="J139" s="255"/>
      <c r="K139" s="256"/>
      <c r="L139" s="43">
        <v>16586.45307543025</v>
      </c>
      <c r="M139" s="44">
        <v>16586.45307543025</v>
      </c>
      <c r="N139" s="44">
        <v>0</v>
      </c>
      <c r="O139" s="44">
        <v>0</v>
      </c>
      <c r="P139" s="44">
        <v>0</v>
      </c>
      <c r="Q139" s="44">
        <v>0</v>
      </c>
      <c r="R139" s="44">
        <v>16586.45</v>
      </c>
      <c r="S139" s="44">
        <v>0</v>
      </c>
    </row>
    <row r="140" spans="1:19" s="39" customFormat="1" ht="29.25" customHeight="1">
      <c r="B140" s="40" t="s">
        <v>14</v>
      </c>
      <c r="C140" s="40" t="str">
        <f>+IFERROR(VLOOKUP($B140, 'Services to Beneficiaries'!$B$7:$C$17, 2, 0), " ")</f>
        <v>Protection    </v>
      </c>
      <c r="D140" s="40" t="s">
        <v>287</v>
      </c>
      <c r="E140" s="254" t="s">
        <v>288</v>
      </c>
      <c r="F140" s="255"/>
      <c r="G140" s="255"/>
      <c r="H140" s="255"/>
      <c r="I140" s="255"/>
      <c r="J140" s="255"/>
      <c r="K140" s="256"/>
      <c r="L140" s="43">
        <v>10884.859830751102</v>
      </c>
      <c r="M140" s="44">
        <v>10884.859830751102</v>
      </c>
      <c r="N140" s="44">
        <v>0</v>
      </c>
      <c r="O140" s="44">
        <v>0</v>
      </c>
      <c r="P140" s="44">
        <v>0</v>
      </c>
      <c r="Q140" s="44">
        <v>0</v>
      </c>
      <c r="R140" s="44">
        <v>10884.86</v>
      </c>
      <c r="S140" s="44">
        <v>0</v>
      </c>
    </row>
    <row r="141" spans="1:19" s="10" customFormat="1" ht="35.1" customHeight="1">
      <c r="A141" s="9"/>
      <c r="B141" s="24"/>
      <c r="C141" s="24"/>
      <c r="D141" s="24" t="s">
        <v>50</v>
      </c>
      <c r="E141" s="257" t="s">
        <v>289</v>
      </c>
      <c r="F141" s="258"/>
      <c r="G141" s="258"/>
      <c r="H141" s="258"/>
      <c r="I141" s="258"/>
      <c r="J141" s="258"/>
      <c r="K141" s="259"/>
      <c r="L141" s="145">
        <f t="shared" ref="L141:S141" si="41">SUM(L142:L145)</f>
        <v>102707.82993397432</v>
      </c>
      <c r="M141" s="145">
        <f t="shared" si="41"/>
        <v>0</v>
      </c>
      <c r="N141" s="145">
        <f t="shared" si="41"/>
        <v>102707.82993397432</v>
      </c>
      <c r="O141" s="145">
        <f t="shared" si="41"/>
        <v>0</v>
      </c>
      <c r="P141" s="145">
        <f t="shared" si="41"/>
        <v>0</v>
      </c>
      <c r="Q141" s="145">
        <f t="shared" si="41"/>
        <v>0</v>
      </c>
      <c r="R141" s="145">
        <f t="shared" si="41"/>
        <v>56431.991690705334</v>
      </c>
      <c r="S141" s="145">
        <f t="shared" si="41"/>
        <v>46275.841690705332</v>
      </c>
    </row>
    <row r="142" spans="1:19" s="39" customFormat="1" ht="29.25" customHeight="1">
      <c r="B142" s="40" t="s">
        <v>22</v>
      </c>
      <c r="C142" s="40" t="str">
        <f>+IFERROR(VLOOKUP($B142, 'Services to Beneficiaries'!$B$7:$C$17, 2, 0), " ")</f>
        <v xml:space="preserve">Planification, follow up and evaluation workshops related goods and services                                        </v>
      </c>
      <c r="D142" s="40" t="s">
        <v>290</v>
      </c>
      <c r="E142" s="254" t="s">
        <v>291</v>
      </c>
      <c r="F142" s="255"/>
      <c r="G142" s="255"/>
      <c r="H142" s="255"/>
      <c r="I142" s="255"/>
      <c r="J142" s="255"/>
      <c r="K142" s="256"/>
      <c r="L142" s="43">
        <v>2210.5107499424507</v>
      </c>
      <c r="M142" s="44">
        <v>0</v>
      </c>
      <c r="N142" s="44">
        <v>2210.5107499424507</v>
      </c>
      <c r="O142" s="44">
        <v>0</v>
      </c>
      <c r="P142" s="44">
        <v>0</v>
      </c>
      <c r="Q142" s="44">
        <v>0</v>
      </c>
      <c r="R142" s="44">
        <v>2210.5100000000002</v>
      </c>
      <c r="S142" s="44">
        <v>0</v>
      </c>
    </row>
    <row r="143" spans="1:19" s="39" customFormat="1" ht="29.25" customHeight="1">
      <c r="B143" s="40" t="s">
        <v>14</v>
      </c>
      <c r="C143" s="40" t="str">
        <f>+IFERROR(VLOOKUP($B143, 'Services to Beneficiaries'!$B$7:$C$17, 2, 0), " ")</f>
        <v>Protection    </v>
      </c>
      <c r="D143" s="40" t="s">
        <v>292</v>
      </c>
      <c r="E143" s="254" t="s">
        <v>293</v>
      </c>
      <c r="F143" s="255"/>
      <c r="G143" s="255"/>
      <c r="H143" s="255"/>
      <c r="I143" s="255"/>
      <c r="J143" s="255"/>
      <c r="K143" s="256"/>
      <c r="L143" s="43">
        <v>88456.895802621206</v>
      </c>
      <c r="M143" s="44">
        <v>0</v>
      </c>
      <c r="N143" s="44">
        <v>88456.895802621206</v>
      </c>
      <c r="O143" s="44">
        <v>0</v>
      </c>
      <c r="P143" s="44">
        <v>0</v>
      </c>
      <c r="Q143" s="44">
        <v>0</v>
      </c>
      <c r="R143" s="44">
        <v>48201.27</v>
      </c>
      <c r="S143" s="44">
        <v>40255.629999999997</v>
      </c>
    </row>
    <row r="144" spans="1:19" s="39" customFormat="1" ht="29.25" customHeight="1">
      <c r="B144" s="40" t="s">
        <v>20</v>
      </c>
      <c r="C144" s="40" t="str">
        <f>+IFERROR(VLOOKUP($B144,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44" s="40" t="s">
        <v>294</v>
      </c>
      <c r="E144" s="254" t="s">
        <v>295</v>
      </c>
      <c r="F144" s="255"/>
      <c r="G144" s="255"/>
      <c r="H144" s="255"/>
      <c r="I144" s="255"/>
      <c r="J144" s="255"/>
      <c r="K144" s="256"/>
      <c r="L144" s="43">
        <v>7622.4508618705186</v>
      </c>
      <c r="M144" s="44">
        <v>0</v>
      </c>
      <c r="N144" s="44">
        <v>7622.4508618705186</v>
      </c>
      <c r="O144" s="44">
        <v>0</v>
      </c>
      <c r="P144" s="44">
        <v>0</v>
      </c>
      <c r="Q144" s="44">
        <v>0</v>
      </c>
      <c r="R144" s="44">
        <v>3811.2254309352593</v>
      </c>
      <c r="S144" s="44">
        <v>3811.2254309352593</v>
      </c>
    </row>
    <row r="145" spans="1:19" s="39" customFormat="1" ht="29.25" customHeight="1">
      <c r="B145" s="40" t="s">
        <v>14</v>
      </c>
      <c r="C145" s="40" t="str">
        <f>+IFERROR(VLOOKUP($B145, 'Services to Beneficiaries'!$B$7:$C$17, 2, 0), " ")</f>
        <v>Protection    </v>
      </c>
      <c r="D145" s="40" t="s">
        <v>296</v>
      </c>
      <c r="E145" s="254" t="s">
        <v>297</v>
      </c>
      <c r="F145" s="255"/>
      <c r="G145" s="255"/>
      <c r="H145" s="255"/>
      <c r="I145" s="255"/>
      <c r="J145" s="255"/>
      <c r="K145" s="256"/>
      <c r="L145" s="43">
        <v>4417.9725195401525</v>
      </c>
      <c r="M145" s="44">
        <v>0</v>
      </c>
      <c r="N145" s="44">
        <v>4417.9725195401525</v>
      </c>
      <c r="O145" s="44">
        <v>0</v>
      </c>
      <c r="P145" s="44">
        <v>0</v>
      </c>
      <c r="Q145" s="44">
        <v>0</v>
      </c>
      <c r="R145" s="44">
        <v>2208.9862597700762</v>
      </c>
      <c r="S145" s="44">
        <v>2208.9862597700762</v>
      </c>
    </row>
    <row r="146" spans="1:19" s="10" customFormat="1" ht="35.1" customHeight="1">
      <c r="A146" s="9"/>
      <c r="B146" s="24"/>
      <c r="C146" s="24"/>
      <c r="D146" s="24" t="s">
        <v>51</v>
      </c>
      <c r="E146" s="257" t="s">
        <v>298</v>
      </c>
      <c r="F146" s="258"/>
      <c r="G146" s="258"/>
      <c r="H146" s="258"/>
      <c r="I146" s="258"/>
      <c r="J146" s="258"/>
      <c r="K146" s="259"/>
      <c r="L146" s="145">
        <f t="shared" ref="L146:S146" si="42">SUM(L147:L152)</f>
        <v>161301.98778273579</v>
      </c>
      <c r="M146" s="145">
        <f t="shared" si="42"/>
        <v>0</v>
      </c>
      <c r="N146" s="145">
        <f t="shared" si="42"/>
        <v>0</v>
      </c>
      <c r="O146" s="145">
        <f t="shared" si="42"/>
        <v>161301.98778273579</v>
      </c>
      <c r="P146" s="145">
        <f t="shared" si="42"/>
        <v>0</v>
      </c>
      <c r="Q146" s="145">
        <f t="shared" si="42"/>
        <v>0</v>
      </c>
      <c r="R146" s="145">
        <f t="shared" si="42"/>
        <v>99234.540961709383</v>
      </c>
      <c r="S146" s="145">
        <f t="shared" si="42"/>
        <v>62067.460961709381</v>
      </c>
    </row>
    <row r="147" spans="1:19" s="39" customFormat="1" ht="29.25" customHeight="1">
      <c r="B147" s="40" t="s">
        <v>22</v>
      </c>
      <c r="C147" s="40" t="str">
        <f>+IFERROR(VLOOKUP($B147, 'Services to Beneficiaries'!$B$7:$C$17, 2, 0), " ")</f>
        <v xml:space="preserve">Planification, follow up and evaluation workshops related goods and services                                        </v>
      </c>
      <c r="D147" s="40" t="s">
        <v>299</v>
      </c>
      <c r="E147" s="254" t="s">
        <v>300</v>
      </c>
      <c r="F147" s="255"/>
      <c r="G147" s="255"/>
      <c r="H147" s="255"/>
      <c r="I147" s="255"/>
      <c r="J147" s="255"/>
      <c r="K147" s="256"/>
      <c r="L147" s="43">
        <v>1829.3882068489245</v>
      </c>
      <c r="M147" s="44">
        <v>0</v>
      </c>
      <c r="N147" s="44">
        <v>0</v>
      </c>
      <c r="O147" s="44">
        <v>1829.3882068489245</v>
      </c>
      <c r="P147" s="44">
        <v>0</v>
      </c>
      <c r="Q147" s="44">
        <v>0</v>
      </c>
      <c r="R147" s="44">
        <v>1829.39</v>
      </c>
      <c r="S147" s="44">
        <v>0</v>
      </c>
    </row>
    <row r="148" spans="1:19" s="39" customFormat="1" ht="29.25" customHeight="1">
      <c r="B148" s="40" t="s">
        <v>14</v>
      </c>
      <c r="C148" s="40" t="str">
        <f>+IFERROR(VLOOKUP($B148, 'Services to Beneficiaries'!$B$7:$C$17, 2, 0), " ")</f>
        <v>Protection    </v>
      </c>
      <c r="D148" s="40" t="s">
        <v>301</v>
      </c>
      <c r="E148" s="254" t="s">
        <v>302</v>
      </c>
      <c r="F148" s="255"/>
      <c r="G148" s="255"/>
      <c r="H148" s="255"/>
      <c r="I148" s="255"/>
      <c r="J148" s="255"/>
      <c r="K148" s="256"/>
      <c r="L148" s="43">
        <v>19208.576171913708</v>
      </c>
      <c r="M148" s="44">
        <v>0</v>
      </c>
      <c r="N148" s="44">
        <v>0</v>
      </c>
      <c r="O148" s="44">
        <v>19208.576171913708</v>
      </c>
      <c r="P148" s="44">
        <v>0</v>
      </c>
      <c r="Q148" s="44">
        <v>0</v>
      </c>
      <c r="R148" s="44">
        <v>19208.579999999998</v>
      </c>
      <c r="S148" s="44">
        <v>0</v>
      </c>
    </row>
    <row r="149" spans="1:19" s="39" customFormat="1" ht="29.25" customHeight="1">
      <c r="B149" s="40" t="s">
        <v>14</v>
      </c>
      <c r="C149" s="40" t="str">
        <f>+IFERROR(VLOOKUP($B149, 'Services to Beneficiaries'!$B$7:$C$17, 2, 0), " ")</f>
        <v>Protection    </v>
      </c>
      <c r="D149" s="40" t="s">
        <v>303</v>
      </c>
      <c r="E149" s="254" t="s">
        <v>304</v>
      </c>
      <c r="F149" s="255"/>
      <c r="G149" s="255"/>
      <c r="H149" s="255"/>
      <c r="I149" s="255"/>
      <c r="J149" s="255"/>
      <c r="K149" s="256"/>
      <c r="L149" s="43">
        <v>8232.2469308201598</v>
      </c>
      <c r="M149" s="44">
        <v>0</v>
      </c>
      <c r="N149" s="44">
        <v>0</v>
      </c>
      <c r="O149" s="44">
        <v>8232.2469308201598</v>
      </c>
      <c r="P149" s="44">
        <v>0</v>
      </c>
      <c r="Q149" s="44">
        <v>0</v>
      </c>
      <c r="R149" s="44">
        <v>4116.1234654100799</v>
      </c>
      <c r="S149" s="44">
        <v>4116.1234654100799</v>
      </c>
    </row>
    <row r="150" spans="1:19" s="39" customFormat="1" ht="29.25" customHeight="1">
      <c r="B150" s="40" t="s">
        <v>24</v>
      </c>
      <c r="C150" s="40" t="str">
        <f>+IFERROR(VLOOKUP($B150, 'Services to Beneficiaries'!$B$7:$C$17, 2, 0), " ")</f>
        <v xml:space="preserve">Capacity building related goods and services                                 </v>
      </c>
      <c r="D150" s="40" t="s">
        <v>305</v>
      </c>
      <c r="E150" s="254" t="s">
        <v>306</v>
      </c>
      <c r="F150" s="255"/>
      <c r="G150" s="255"/>
      <c r="H150" s="255"/>
      <c r="I150" s="255"/>
      <c r="J150" s="255"/>
      <c r="K150" s="256"/>
      <c r="L150" s="43">
        <v>19391.514992598601</v>
      </c>
      <c r="M150" s="44">
        <v>0</v>
      </c>
      <c r="N150" s="44">
        <v>0</v>
      </c>
      <c r="O150" s="44">
        <v>19391.514992598601</v>
      </c>
      <c r="P150" s="44">
        <v>0</v>
      </c>
      <c r="Q150" s="44">
        <v>0</v>
      </c>
      <c r="R150" s="44">
        <v>9695.7574962993003</v>
      </c>
      <c r="S150" s="44">
        <v>9695.7574962993003</v>
      </c>
    </row>
    <row r="151" spans="1:19" s="39" customFormat="1" ht="29.25" customHeight="1">
      <c r="B151" s="40" t="s">
        <v>20</v>
      </c>
      <c r="C151" s="40" t="str">
        <f>+IFERROR(VLOOKUP($B151,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51" s="40" t="s">
        <v>307</v>
      </c>
      <c r="E151" s="254" t="s">
        <v>308</v>
      </c>
      <c r="F151" s="255"/>
      <c r="G151" s="255"/>
      <c r="H151" s="255"/>
      <c r="I151" s="255"/>
      <c r="J151" s="255"/>
      <c r="K151" s="256"/>
      <c r="L151" s="43">
        <v>7805.3896825554111</v>
      </c>
      <c r="M151" s="44">
        <v>0</v>
      </c>
      <c r="N151" s="44">
        <v>0</v>
      </c>
      <c r="O151" s="44">
        <v>7805.3896825554111</v>
      </c>
      <c r="P151" s="44">
        <v>0</v>
      </c>
      <c r="Q151" s="44">
        <v>0</v>
      </c>
      <c r="R151" s="44">
        <v>7805.39</v>
      </c>
      <c r="S151" s="44">
        <v>0</v>
      </c>
    </row>
    <row r="152" spans="1:19" s="39" customFormat="1" ht="29.25" customHeight="1">
      <c r="B152" s="40" t="s">
        <v>24</v>
      </c>
      <c r="C152" s="40" t="str">
        <f>+IFERROR(VLOOKUP($B152, 'Services to Beneficiaries'!$B$7:$C$17, 2, 0), " ")</f>
        <v xml:space="preserve">Capacity building related goods and services                                 </v>
      </c>
      <c r="D152" s="40" t="s">
        <v>309</v>
      </c>
      <c r="E152" s="254" t="s">
        <v>310</v>
      </c>
      <c r="F152" s="255"/>
      <c r="G152" s="255"/>
      <c r="H152" s="255"/>
      <c r="I152" s="255"/>
      <c r="J152" s="255"/>
      <c r="K152" s="256"/>
      <c r="L152" s="43">
        <v>104834.87179799896</v>
      </c>
      <c r="M152" s="44">
        <v>0</v>
      </c>
      <c r="N152" s="44">
        <v>0</v>
      </c>
      <c r="O152" s="44">
        <v>104834.87179799896</v>
      </c>
      <c r="P152" s="44">
        <v>0</v>
      </c>
      <c r="Q152" s="44">
        <v>0</v>
      </c>
      <c r="R152" s="44">
        <v>56579.3</v>
      </c>
      <c r="S152" s="44">
        <v>48255.58</v>
      </c>
    </row>
    <row r="153" spans="1:19" s="10" customFormat="1" ht="39" customHeight="1">
      <c r="A153" s="9"/>
      <c r="B153" s="24"/>
      <c r="C153" s="24"/>
      <c r="D153" s="24" t="s">
        <v>52</v>
      </c>
      <c r="E153" s="257" t="s">
        <v>311</v>
      </c>
      <c r="F153" s="258"/>
      <c r="G153" s="258"/>
      <c r="H153" s="258"/>
      <c r="I153" s="258"/>
      <c r="J153" s="258"/>
      <c r="K153" s="259"/>
      <c r="L153" s="145">
        <f t="shared" ref="L153:S153" si="43">SUM(L154:L157)</f>
        <v>34076.166577992153</v>
      </c>
      <c r="M153" s="145">
        <f t="shared" si="43"/>
        <v>0</v>
      </c>
      <c r="N153" s="145">
        <f t="shared" si="43"/>
        <v>0</v>
      </c>
      <c r="O153" s="145">
        <f t="shared" si="43"/>
        <v>0</v>
      </c>
      <c r="P153" s="145">
        <f t="shared" si="43"/>
        <v>34076.166577992153</v>
      </c>
      <c r="Q153" s="145">
        <f t="shared" si="43"/>
        <v>0</v>
      </c>
      <c r="R153" s="145">
        <f t="shared" si="43"/>
        <v>27856.25</v>
      </c>
      <c r="S153" s="145">
        <f t="shared" si="43"/>
        <v>6219.92</v>
      </c>
    </row>
    <row r="154" spans="1:19" s="39" customFormat="1" ht="29.25" customHeight="1">
      <c r="B154" s="40" t="s">
        <v>26</v>
      </c>
      <c r="C154" s="40" t="str">
        <f>+IFERROR(VLOOKUP($B154, 'Services to Beneficiaries'!$B$7:$C$17, 2, 0), " ")</f>
        <v xml:space="preserve">Mainstreaming (gender, HIV/AIDS, sustainable development,  etc.) related goods and services                       </v>
      </c>
      <c r="D154" s="40" t="s">
        <v>312</v>
      </c>
      <c r="E154" s="254" t="s">
        <v>313</v>
      </c>
      <c r="F154" s="255"/>
      <c r="G154" s="255"/>
      <c r="H154" s="255"/>
      <c r="I154" s="255"/>
      <c r="J154" s="255"/>
      <c r="K154" s="256"/>
      <c r="L154" s="43">
        <v>9848.2065135367102</v>
      </c>
      <c r="M154" s="44">
        <v>0</v>
      </c>
      <c r="N154" s="44">
        <v>0</v>
      </c>
      <c r="O154" s="44">
        <v>0</v>
      </c>
      <c r="P154" s="44">
        <v>9848.2065135367102</v>
      </c>
      <c r="Q154" s="44">
        <v>0</v>
      </c>
      <c r="R154" s="44">
        <v>9848.2099999999991</v>
      </c>
      <c r="S154" s="44">
        <v>0</v>
      </c>
    </row>
    <row r="155" spans="1:19" s="39" customFormat="1" ht="29.25" customHeight="1">
      <c r="B155" s="40"/>
      <c r="C155" s="40" t="str">
        <f>+IFERROR(VLOOKUP($B155, 'Services to Beneficiaries'!$B$7:$C$17, 2, 0), " ")</f>
        <v xml:space="preserve"> </v>
      </c>
      <c r="D155" s="40" t="s">
        <v>314</v>
      </c>
      <c r="E155" s="254" t="s">
        <v>315</v>
      </c>
      <c r="F155" s="255"/>
      <c r="G155" s="255"/>
      <c r="H155" s="255"/>
      <c r="I155" s="255"/>
      <c r="J155" s="255"/>
      <c r="K155" s="256"/>
      <c r="L155" s="43">
        <v>4924.1032567683551</v>
      </c>
      <c r="M155" s="44">
        <v>0</v>
      </c>
      <c r="N155" s="44">
        <v>0</v>
      </c>
      <c r="O155" s="44">
        <v>0</v>
      </c>
      <c r="P155" s="44">
        <v>4924.1032567683551</v>
      </c>
      <c r="Q155" s="44">
        <v>0</v>
      </c>
      <c r="R155" s="44">
        <v>4924.1000000000004</v>
      </c>
      <c r="S155" s="44">
        <v>0</v>
      </c>
    </row>
    <row r="156" spans="1:19" s="39" customFormat="1" ht="29.25" customHeight="1">
      <c r="B156" s="40"/>
      <c r="C156" s="40" t="str">
        <f>+IFERROR(VLOOKUP($B156, 'Services to Beneficiaries'!$B$7:$C$17, 2, 0), " ")</f>
        <v xml:space="preserve"> </v>
      </c>
      <c r="D156" s="40" t="s">
        <v>316</v>
      </c>
      <c r="E156" s="254" t="s">
        <v>317</v>
      </c>
      <c r="F156" s="255"/>
      <c r="G156" s="255"/>
      <c r="H156" s="255"/>
      <c r="I156" s="255"/>
      <c r="J156" s="255"/>
      <c r="K156" s="256"/>
      <c r="L156" s="43">
        <v>8403.7520752122473</v>
      </c>
      <c r="M156" s="44">
        <v>0</v>
      </c>
      <c r="N156" s="44">
        <v>0</v>
      </c>
      <c r="O156" s="44">
        <v>0</v>
      </c>
      <c r="P156" s="44">
        <v>8403.7520752122473</v>
      </c>
      <c r="Q156" s="44">
        <v>0</v>
      </c>
      <c r="R156" s="44">
        <v>5354.77</v>
      </c>
      <c r="S156" s="44">
        <v>3048.98</v>
      </c>
    </row>
    <row r="157" spans="1:19" s="39" customFormat="1" ht="29.25" customHeight="1">
      <c r="A157" s="9"/>
      <c r="B157" s="40" t="s">
        <v>26</v>
      </c>
      <c r="C157" s="40" t="str">
        <f>+IFERROR(VLOOKUP($B157, 'Services to Beneficiaries'!$B$7:$C$17, 2, 0), " ")</f>
        <v xml:space="preserve">Mainstreaming (gender, HIV/AIDS, sustainable development,  etc.) related goods and services                       </v>
      </c>
      <c r="D157" s="40" t="s">
        <v>318</v>
      </c>
      <c r="E157" s="254" t="s">
        <v>319</v>
      </c>
      <c r="F157" s="255"/>
      <c r="G157" s="255"/>
      <c r="H157" s="255"/>
      <c r="I157" s="255"/>
      <c r="J157" s="255"/>
      <c r="K157" s="256"/>
      <c r="L157" s="43">
        <v>10900.104732474842</v>
      </c>
      <c r="M157" s="44">
        <v>0</v>
      </c>
      <c r="N157" s="44">
        <v>0</v>
      </c>
      <c r="O157" s="44">
        <v>0</v>
      </c>
      <c r="P157" s="44">
        <v>10900.104732474842</v>
      </c>
      <c r="Q157" s="44">
        <v>0</v>
      </c>
      <c r="R157" s="44">
        <v>7729.17</v>
      </c>
      <c r="S157" s="44">
        <v>3170.9399999999996</v>
      </c>
    </row>
    <row r="158" spans="1:19" s="10" customFormat="1" ht="42" customHeight="1">
      <c r="A158" s="9"/>
      <c r="B158" s="24"/>
      <c r="C158" s="24"/>
      <c r="D158" s="24" t="s">
        <v>53</v>
      </c>
      <c r="E158" s="257" t="s">
        <v>320</v>
      </c>
      <c r="F158" s="258"/>
      <c r="G158" s="258"/>
      <c r="H158" s="258"/>
      <c r="I158" s="258"/>
      <c r="J158" s="258"/>
      <c r="K158" s="259"/>
      <c r="L158" s="145">
        <f t="shared" ref="L158:S158" si="44">SUM(L159:L160)</f>
        <v>59949.999984755101</v>
      </c>
      <c r="M158" s="145">
        <f t="shared" si="44"/>
        <v>0</v>
      </c>
      <c r="N158" s="145">
        <f t="shared" si="44"/>
        <v>0</v>
      </c>
      <c r="O158" s="145">
        <f t="shared" si="44"/>
        <v>0</v>
      </c>
      <c r="P158" s="145">
        <f t="shared" si="44"/>
        <v>0</v>
      </c>
      <c r="Q158" s="145">
        <f t="shared" si="44"/>
        <v>59949.999984755101</v>
      </c>
      <c r="R158" s="145">
        <f t="shared" si="44"/>
        <v>53089.794209071631</v>
      </c>
      <c r="S158" s="145">
        <f t="shared" si="44"/>
        <v>6860.2057756834674</v>
      </c>
    </row>
    <row r="159" spans="1:19" s="39" customFormat="1" ht="29.25" customHeight="1">
      <c r="B159" s="40" t="s">
        <v>28</v>
      </c>
      <c r="C159" s="40" t="str">
        <f>+IFERROR(VLOOKUP($B159, 'Services to Beneficiaries'!$B$7:$C$17, 2, 0), " ")</f>
        <v>Crisis Modifier</v>
      </c>
      <c r="D159" s="40" t="s">
        <v>321</v>
      </c>
      <c r="E159" s="254" t="s">
        <v>322</v>
      </c>
      <c r="F159" s="255"/>
      <c r="G159" s="255"/>
      <c r="H159" s="255"/>
      <c r="I159" s="255"/>
      <c r="J159" s="255"/>
      <c r="K159" s="256"/>
      <c r="L159" s="43">
        <v>6860.2057756834674</v>
      </c>
      <c r="M159" s="44">
        <v>0</v>
      </c>
      <c r="N159" s="44">
        <v>0</v>
      </c>
      <c r="O159" s="44">
        <v>0</v>
      </c>
      <c r="P159" s="44">
        <v>0</v>
      </c>
      <c r="Q159" s="44">
        <v>6860.2057756834674</v>
      </c>
      <c r="R159" s="44">
        <v>0</v>
      </c>
      <c r="S159" s="44">
        <v>6860.2057756834674</v>
      </c>
    </row>
    <row r="160" spans="1:19" s="39" customFormat="1" ht="29.25" customHeight="1">
      <c r="B160" s="40" t="s">
        <v>28</v>
      </c>
      <c r="C160" s="40" t="str">
        <f>+IFERROR(VLOOKUP($B160, 'Services to Beneficiaries'!$B$7:$C$17, 2, 0), " ")</f>
        <v>Crisis Modifier</v>
      </c>
      <c r="D160" s="40" t="s">
        <v>323</v>
      </c>
      <c r="E160" s="254" t="s">
        <v>324</v>
      </c>
      <c r="F160" s="255"/>
      <c r="G160" s="255"/>
      <c r="H160" s="255"/>
      <c r="I160" s="255"/>
      <c r="J160" s="255"/>
      <c r="K160" s="256"/>
      <c r="L160" s="43">
        <v>53089.794209071631</v>
      </c>
      <c r="M160" s="44">
        <v>0</v>
      </c>
      <c r="N160" s="44">
        <v>0</v>
      </c>
      <c r="O160" s="44">
        <v>0</v>
      </c>
      <c r="P160" s="44">
        <v>0</v>
      </c>
      <c r="Q160" s="44">
        <v>53089.794209071631</v>
      </c>
      <c r="R160" s="44">
        <v>53089.794209071631</v>
      </c>
      <c r="S160" s="44">
        <v>0</v>
      </c>
    </row>
    <row r="161" spans="2:20" s="152" customFormat="1" ht="15.6">
      <c r="B161" s="153"/>
      <c r="C161" s="153"/>
      <c r="D161" s="153"/>
      <c r="E161" s="154" t="s">
        <v>325</v>
      </c>
      <c r="F161" s="155"/>
      <c r="G161" s="155"/>
      <c r="H161" s="155"/>
      <c r="I161" s="155"/>
      <c r="J161" s="156"/>
      <c r="K161" s="157"/>
      <c r="L161" s="158">
        <v>62428.909723227989</v>
      </c>
      <c r="M161" s="159">
        <v>20686.603101038076</v>
      </c>
      <c r="N161" s="159">
        <v>11181.037274954964</v>
      </c>
      <c r="O161" s="159">
        <v>14403.715956636845</v>
      </c>
      <c r="P161" s="159">
        <v>7406.2957903759452</v>
      </c>
      <c r="Q161" s="159">
        <v>8829.3566277479058</v>
      </c>
      <c r="R161" s="159">
        <v>31253.505000000001</v>
      </c>
      <c r="S161" s="159">
        <v>31253.505000000001</v>
      </c>
    </row>
    <row r="162" spans="2:20" s="5" customFormat="1" ht="15.6">
      <c r="B162" s="6"/>
      <c r="C162" s="6"/>
      <c r="D162" s="6"/>
      <c r="E162" s="7" t="s">
        <v>326</v>
      </c>
      <c r="F162" s="7"/>
      <c r="G162" s="7"/>
      <c r="H162" s="7"/>
      <c r="I162" s="7"/>
      <c r="J162" s="113"/>
      <c r="K162" s="114"/>
      <c r="L162" s="150">
        <f t="shared" ref="L162:S162" si="45">L25+L40+L76+L123+L126+L161</f>
        <v>1197499.9990946639</v>
      </c>
      <c r="M162" s="150">
        <f t="shared" si="45"/>
        <v>396807.91769634787</v>
      </c>
      <c r="N162" s="150">
        <f t="shared" si="45"/>
        <v>214472.79139602632</v>
      </c>
      <c r="O162" s="150">
        <f t="shared" si="45"/>
        <v>276289.62792646966</v>
      </c>
      <c r="P162" s="150">
        <f t="shared" si="45"/>
        <v>142066.38655546514</v>
      </c>
      <c r="Q162" s="150">
        <f t="shared" si="45"/>
        <v>169363.28079960003</v>
      </c>
      <c r="R162" s="150">
        <f t="shared" si="45"/>
        <v>726042.31095936021</v>
      </c>
      <c r="S162" s="150">
        <f t="shared" si="45"/>
        <v>472957.68849070754</v>
      </c>
      <c r="T162" s="207"/>
    </row>
    <row r="163" spans="2:20" ht="15.6" customHeight="1">
      <c r="L163" s="129"/>
      <c r="M163" s="129"/>
      <c r="N163" s="129"/>
      <c r="O163" s="129"/>
      <c r="P163" s="129"/>
      <c r="Q163" s="129"/>
      <c r="R163" s="129"/>
      <c r="S163" s="151"/>
    </row>
    <row r="164" spans="2:20" ht="15.6" customHeight="1">
      <c r="L164" s="151"/>
      <c r="M164" s="151"/>
      <c r="N164" s="151"/>
      <c r="O164" s="151"/>
      <c r="P164" s="151"/>
      <c r="Q164" s="151"/>
      <c r="R164" s="151"/>
      <c r="S164" s="151"/>
    </row>
    <row r="165" spans="2:20" ht="15.6" customHeight="1">
      <c r="L165" s="129"/>
      <c r="M165" s="129"/>
      <c r="N165" s="129"/>
      <c r="O165" s="129"/>
      <c r="P165" s="129"/>
      <c r="Q165" s="129"/>
      <c r="R165" s="129"/>
      <c r="S165" s="151"/>
    </row>
    <row r="166" spans="2:20" ht="13.2">
      <c r="L166" s="132"/>
      <c r="M166" s="129"/>
      <c r="N166" s="129"/>
      <c r="O166" s="129"/>
      <c r="P166" s="129"/>
      <c r="Q166" s="129"/>
      <c r="R166" s="129"/>
      <c r="S166" s="151"/>
    </row>
    <row r="167" spans="2:20" ht="15.6" customHeight="1">
      <c r="L167" s="132"/>
      <c r="M167" s="129"/>
      <c r="N167" s="129"/>
      <c r="O167" s="129"/>
      <c r="P167" s="129"/>
      <c r="Q167" s="129"/>
      <c r="R167" s="129"/>
      <c r="S167" s="151"/>
    </row>
    <row r="168" spans="2:20" ht="13.2">
      <c r="L168" s="132"/>
      <c r="M168" s="129"/>
      <c r="N168" s="129"/>
      <c r="O168" s="129"/>
      <c r="P168" s="129"/>
      <c r="Q168" s="129"/>
      <c r="R168" s="129"/>
      <c r="S168" s="151"/>
    </row>
    <row r="169" spans="2:20" ht="13.2">
      <c r="L169" s="129"/>
      <c r="M169" s="129"/>
      <c r="N169" s="129"/>
      <c r="O169" s="129"/>
      <c r="P169" s="129"/>
      <c r="Q169" s="129"/>
      <c r="R169" s="129"/>
      <c r="S169" s="129"/>
    </row>
    <row r="170" spans="2:20" ht="13.2">
      <c r="L170" s="129"/>
      <c r="M170" s="129"/>
      <c r="N170" s="129"/>
      <c r="O170" s="129"/>
      <c r="P170" s="129"/>
      <c r="Q170" s="129"/>
      <c r="R170" s="129"/>
      <c r="S170" s="129"/>
    </row>
    <row r="171" spans="2:20" ht="13.2">
      <c r="L171" s="129"/>
      <c r="M171" s="129"/>
      <c r="N171" s="129"/>
      <c r="O171" s="129"/>
      <c r="P171" s="129"/>
      <c r="Q171" s="129"/>
      <c r="R171" s="129"/>
      <c r="S171" s="129"/>
    </row>
    <row r="172" spans="2:20" ht="13.2">
      <c r="L172" s="129"/>
      <c r="M172" s="129"/>
      <c r="N172" s="129"/>
      <c r="O172" s="129"/>
      <c r="P172" s="129"/>
      <c r="Q172" s="129"/>
      <c r="R172" s="129"/>
      <c r="S172" s="129"/>
    </row>
    <row r="173" spans="2:20" ht="13.2">
      <c r="L173" s="151"/>
      <c r="M173" s="129"/>
      <c r="N173" s="129"/>
      <c r="O173" s="129"/>
      <c r="P173" s="129"/>
      <c r="Q173" s="129"/>
      <c r="R173" s="129"/>
      <c r="S173" s="129"/>
    </row>
    <row r="174" spans="2:20" ht="13.2">
      <c r="L174" s="129"/>
      <c r="M174" s="129"/>
      <c r="N174" s="129"/>
      <c r="O174" s="129"/>
      <c r="P174" s="129"/>
      <c r="Q174" s="129"/>
      <c r="R174" s="129"/>
      <c r="S174" s="129"/>
    </row>
    <row r="175" spans="2:20" ht="13.2">
      <c r="L175" s="129"/>
      <c r="M175" s="129"/>
      <c r="N175" s="129"/>
      <c r="O175" s="129"/>
      <c r="P175" s="129"/>
      <c r="Q175" s="129"/>
      <c r="R175" s="129"/>
      <c r="S175" s="129"/>
    </row>
    <row r="176" spans="2:20" ht="13.2">
      <c r="L176" s="129"/>
      <c r="M176" s="129"/>
      <c r="N176" s="129"/>
      <c r="O176" s="129"/>
      <c r="P176" s="129"/>
      <c r="Q176" s="129"/>
      <c r="R176" s="129"/>
      <c r="S176" s="129"/>
    </row>
    <row r="177" spans="12:19" ht="13.2">
      <c r="L177" s="129"/>
      <c r="M177" s="129"/>
      <c r="N177" s="129"/>
      <c r="O177" s="129"/>
      <c r="P177" s="129"/>
      <c r="Q177" s="129"/>
      <c r="R177" s="129"/>
      <c r="S177" s="129"/>
    </row>
    <row r="178" spans="12:19" ht="13.2">
      <c r="L178" s="129"/>
      <c r="M178" s="129"/>
      <c r="N178" s="129"/>
      <c r="O178" s="129"/>
      <c r="P178" s="129"/>
      <c r="Q178" s="129"/>
      <c r="R178" s="129"/>
      <c r="S178" s="129"/>
    </row>
    <row r="179" spans="12:19" ht="13.2">
      <c r="L179" s="129"/>
      <c r="M179" s="129"/>
      <c r="N179" s="129"/>
      <c r="O179" s="129"/>
      <c r="P179" s="129"/>
      <c r="Q179" s="129"/>
      <c r="R179" s="129"/>
      <c r="S179" s="129"/>
    </row>
    <row r="180" spans="12:19" ht="15" customHeight="1">
      <c r="L180" s="129"/>
      <c r="M180" s="129"/>
      <c r="N180" s="129"/>
      <c r="O180" s="129"/>
      <c r="P180" s="129"/>
      <c r="Q180" s="129"/>
      <c r="R180" s="129"/>
      <c r="S180" s="129"/>
    </row>
    <row r="181" spans="12:19" ht="15" customHeight="1">
      <c r="L181" s="129"/>
      <c r="M181" s="129"/>
      <c r="N181" s="129"/>
      <c r="O181" s="129"/>
      <c r="P181" s="129"/>
      <c r="Q181" s="129"/>
      <c r="R181" s="129"/>
      <c r="S181" s="129"/>
    </row>
    <row r="182" spans="12:19" ht="15" customHeight="1">
      <c r="L182" s="129"/>
      <c r="M182" s="129"/>
      <c r="N182" s="129"/>
      <c r="O182" s="129"/>
      <c r="P182" s="129"/>
      <c r="Q182" s="129"/>
      <c r="R182" s="129"/>
      <c r="S182" s="129"/>
    </row>
    <row r="183" spans="12:19" ht="15" customHeight="1">
      <c r="L183" s="129"/>
      <c r="M183" s="129"/>
      <c r="N183" s="129"/>
      <c r="O183" s="129"/>
      <c r="P183" s="129"/>
      <c r="Q183" s="129"/>
      <c r="R183" s="129"/>
      <c r="S183" s="129"/>
    </row>
    <row r="184" spans="12:19" ht="15" customHeight="1">
      <c r="L184" s="129"/>
      <c r="M184" s="129"/>
      <c r="N184" s="129"/>
      <c r="O184" s="129"/>
      <c r="P184" s="129"/>
      <c r="Q184" s="129"/>
      <c r="R184" s="129"/>
      <c r="S184" s="129"/>
    </row>
    <row r="185" spans="12:19" ht="15" customHeight="1">
      <c r="L185" s="129"/>
      <c r="M185" s="129"/>
      <c r="N185" s="129"/>
      <c r="O185" s="129"/>
      <c r="P185" s="129"/>
      <c r="Q185" s="129"/>
      <c r="R185" s="129"/>
      <c r="S185" s="129"/>
    </row>
    <row r="186" spans="12:19" ht="15" customHeight="1">
      <c r="L186" s="129"/>
      <c r="M186" s="129"/>
      <c r="N186" s="129"/>
      <c r="O186" s="129"/>
      <c r="P186" s="129"/>
      <c r="Q186" s="129"/>
      <c r="R186" s="129"/>
      <c r="S186" s="129"/>
    </row>
    <row r="187" spans="12:19" ht="15" customHeight="1">
      <c r="L187" s="129"/>
      <c r="M187" s="129"/>
      <c r="N187" s="129"/>
      <c r="O187" s="129"/>
      <c r="P187" s="129"/>
      <c r="Q187" s="129"/>
      <c r="R187" s="129"/>
      <c r="S187" s="129"/>
    </row>
    <row r="188" spans="12:19" ht="38.25" customHeight="1">
      <c r="L188" s="129"/>
      <c r="M188" s="129"/>
      <c r="N188" s="129"/>
      <c r="O188" s="129"/>
      <c r="P188" s="129"/>
      <c r="Q188" s="129"/>
      <c r="R188" s="129"/>
      <c r="S188" s="129"/>
    </row>
    <row r="189" spans="12:19" ht="15" customHeight="1">
      <c r="L189" s="129"/>
      <c r="M189" s="129"/>
      <c r="N189" s="129"/>
      <c r="O189" s="129"/>
      <c r="P189" s="129"/>
      <c r="Q189" s="129"/>
      <c r="R189" s="129"/>
      <c r="S189" s="129"/>
    </row>
    <row r="190" spans="12:19" ht="13.2">
      <c r="L190" s="129"/>
      <c r="M190" s="129"/>
      <c r="N190" s="129"/>
      <c r="O190" s="129"/>
      <c r="P190" s="129"/>
      <c r="Q190" s="129"/>
      <c r="R190" s="129"/>
      <c r="S190" s="129"/>
    </row>
    <row r="191" spans="12:19" ht="13.2">
      <c r="L191" s="129"/>
      <c r="M191" s="129"/>
      <c r="N191" s="129"/>
      <c r="O191" s="129"/>
      <c r="P191" s="129"/>
      <c r="Q191" s="129"/>
      <c r="R191" s="129"/>
      <c r="S191" s="129"/>
    </row>
    <row r="192" spans="12:19" ht="13.2">
      <c r="L192" s="129"/>
      <c r="M192" s="129"/>
      <c r="N192" s="129"/>
      <c r="O192" s="129"/>
      <c r="P192" s="129"/>
      <c r="Q192" s="129"/>
      <c r="R192" s="129"/>
      <c r="S192" s="129"/>
    </row>
    <row r="193" spans="12:19" ht="13.2">
      <c r="L193" s="129"/>
      <c r="M193" s="129"/>
      <c r="N193" s="129"/>
      <c r="O193" s="129"/>
      <c r="P193" s="129"/>
      <c r="Q193" s="129"/>
      <c r="R193" s="129"/>
      <c r="S193" s="129"/>
    </row>
    <row r="194" spans="12:19" ht="39" customHeight="1">
      <c r="L194" s="129"/>
      <c r="M194" s="129"/>
      <c r="N194" s="129"/>
      <c r="O194" s="129"/>
      <c r="P194" s="129"/>
      <c r="Q194" s="129"/>
      <c r="R194" s="129"/>
      <c r="S194" s="129"/>
    </row>
    <row r="195" spans="12:19" ht="13.2">
      <c r="L195" s="129"/>
      <c r="M195" s="129"/>
      <c r="N195" s="129"/>
      <c r="O195" s="129"/>
      <c r="P195" s="129"/>
      <c r="Q195" s="129"/>
      <c r="R195" s="129"/>
      <c r="S195" s="129"/>
    </row>
    <row r="196" spans="12:19" ht="13.2">
      <c r="L196" s="129"/>
      <c r="M196" s="129"/>
      <c r="N196" s="129"/>
      <c r="O196" s="129"/>
      <c r="P196" s="129"/>
      <c r="Q196" s="129"/>
      <c r="R196" s="129"/>
      <c r="S196" s="129"/>
    </row>
    <row r="197" spans="12:19" ht="13.2">
      <c r="L197" s="129"/>
      <c r="M197" s="129"/>
      <c r="N197" s="129"/>
      <c r="O197" s="129"/>
      <c r="P197" s="129"/>
      <c r="Q197" s="129"/>
      <c r="R197" s="129"/>
      <c r="S197" s="129"/>
    </row>
    <row r="198" spans="12:19" ht="13.2">
      <c r="L198" s="129"/>
      <c r="M198" s="129"/>
      <c r="N198" s="129"/>
      <c r="O198" s="129"/>
      <c r="P198" s="129"/>
      <c r="Q198" s="129"/>
      <c r="R198" s="129"/>
      <c r="S198" s="129"/>
    </row>
    <row r="199" spans="12:19" ht="13.2">
      <c r="L199" s="129"/>
      <c r="M199" s="129"/>
      <c r="N199" s="129"/>
      <c r="O199" s="129"/>
      <c r="P199" s="129"/>
      <c r="Q199" s="129"/>
      <c r="R199" s="129"/>
      <c r="S199" s="129"/>
    </row>
    <row r="200" spans="12:19" ht="13.2">
      <c r="L200" s="129"/>
      <c r="M200" s="129"/>
      <c r="N200" s="129"/>
      <c r="O200" s="129"/>
      <c r="P200" s="129"/>
      <c r="Q200" s="129"/>
      <c r="R200" s="129"/>
      <c r="S200" s="129"/>
    </row>
    <row r="201" spans="12:19" ht="13.2">
      <c r="L201" s="129"/>
      <c r="M201" s="129"/>
      <c r="N201" s="129"/>
      <c r="O201" s="129"/>
      <c r="P201" s="129"/>
      <c r="Q201" s="129"/>
      <c r="R201" s="129"/>
      <c r="S201" s="129"/>
    </row>
    <row r="202" spans="12:19" ht="13.2">
      <c r="L202" s="129"/>
      <c r="M202" s="129"/>
      <c r="N202" s="129"/>
      <c r="O202" s="129"/>
      <c r="P202" s="129"/>
      <c r="Q202" s="129"/>
      <c r="R202" s="129"/>
      <c r="S202" s="129"/>
    </row>
    <row r="203" spans="12:19" ht="13.2">
      <c r="L203" s="129"/>
      <c r="M203" s="129"/>
      <c r="N203" s="129"/>
      <c r="O203" s="129"/>
      <c r="P203" s="129"/>
      <c r="Q203" s="129"/>
      <c r="R203" s="129"/>
      <c r="S203" s="129"/>
    </row>
    <row r="204" spans="12:19" ht="13.2">
      <c r="L204" s="129"/>
      <c r="M204" s="129"/>
      <c r="N204" s="129"/>
      <c r="O204" s="129"/>
      <c r="P204" s="129"/>
      <c r="Q204" s="129"/>
      <c r="R204" s="129"/>
      <c r="S204" s="129"/>
    </row>
    <row r="205" spans="12:19" ht="13.2">
      <c r="L205" s="129"/>
      <c r="M205" s="129"/>
      <c r="N205" s="129"/>
      <c r="O205" s="129"/>
      <c r="P205" s="129"/>
      <c r="Q205" s="129"/>
      <c r="R205" s="129"/>
      <c r="S205" s="129"/>
    </row>
    <row r="206" spans="12:19" ht="13.2">
      <c r="L206" s="129"/>
      <c r="M206" s="129"/>
      <c r="N206" s="129"/>
      <c r="O206" s="129"/>
      <c r="P206" s="129"/>
      <c r="Q206" s="129"/>
      <c r="R206" s="129"/>
      <c r="S206" s="129"/>
    </row>
    <row r="207" spans="12:19" ht="13.2">
      <c r="L207" s="129"/>
      <c r="M207" s="129"/>
      <c r="N207" s="129"/>
      <c r="O207" s="129"/>
      <c r="P207" s="129"/>
      <c r="Q207" s="129"/>
      <c r="R207" s="129"/>
      <c r="S207" s="129"/>
    </row>
    <row r="208" spans="12:19" ht="13.2">
      <c r="L208" s="129"/>
      <c r="M208" s="129"/>
      <c r="N208" s="129"/>
      <c r="O208" s="129"/>
      <c r="P208" s="129"/>
      <c r="Q208" s="129"/>
      <c r="R208" s="129"/>
      <c r="S208" s="129"/>
    </row>
    <row r="209" spans="12:19" ht="13.2">
      <c r="L209" s="129"/>
      <c r="M209" s="129"/>
      <c r="N209" s="129"/>
      <c r="O209" s="129"/>
      <c r="P209" s="129"/>
      <c r="Q209" s="129"/>
      <c r="R209" s="129"/>
      <c r="S209" s="129"/>
    </row>
    <row r="210" spans="12:19" ht="13.2">
      <c r="L210" s="129"/>
      <c r="M210" s="129"/>
      <c r="N210" s="129"/>
      <c r="O210" s="129"/>
      <c r="P210" s="129"/>
      <c r="Q210" s="129"/>
      <c r="R210" s="129"/>
      <c r="S210" s="129"/>
    </row>
    <row r="211" spans="12:19" ht="13.2">
      <c r="L211" s="129"/>
      <c r="M211" s="129"/>
      <c r="N211" s="129"/>
      <c r="O211" s="129"/>
      <c r="P211" s="129"/>
      <c r="Q211" s="129"/>
      <c r="R211" s="129"/>
      <c r="S211" s="129"/>
    </row>
    <row r="212" spans="12:19" ht="13.2">
      <c r="L212" s="129"/>
      <c r="M212" s="129"/>
      <c r="N212" s="129"/>
      <c r="O212" s="129"/>
      <c r="P212" s="129"/>
      <c r="Q212" s="129"/>
      <c r="R212" s="129"/>
      <c r="S212" s="129"/>
    </row>
    <row r="213" spans="12:19" ht="13.2">
      <c r="L213" s="129"/>
      <c r="M213" s="129"/>
      <c r="N213" s="129"/>
      <c r="O213" s="129"/>
      <c r="P213" s="129"/>
      <c r="Q213" s="129"/>
      <c r="R213" s="129"/>
      <c r="S213" s="129"/>
    </row>
    <row r="214" spans="12:19" ht="13.2">
      <c r="L214" s="129"/>
      <c r="M214" s="129"/>
      <c r="N214" s="129"/>
      <c r="O214" s="129"/>
      <c r="P214" s="129"/>
      <c r="Q214" s="129"/>
      <c r="R214" s="129"/>
      <c r="S214" s="129"/>
    </row>
    <row r="215" spans="12:19" ht="13.2">
      <c r="L215" s="129"/>
      <c r="M215" s="129"/>
      <c r="N215" s="129"/>
      <c r="O215" s="129"/>
      <c r="P215" s="129"/>
      <c r="Q215" s="129"/>
      <c r="R215" s="129"/>
      <c r="S215" s="129"/>
    </row>
    <row r="216" spans="12:19" ht="13.2">
      <c r="L216" s="129"/>
      <c r="M216" s="129"/>
      <c r="N216" s="129"/>
      <c r="O216" s="129"/>
      <c r="P216" s="129"/>
      <c r="Q216" s="129"/>
      <c r="R216" s="129"/>
      <c r="S216" s="129"/>
    </row>
    <row r="217" spans="12:19" ht="13.2">
      <c r="L217" s="129"/>
      <c r="M217" s="129"/>
      <c r="N217" s="129"/>
      <c r="O217" s="129"/>
      <c r="P217" s="129"/>
      <c r="Q217" s="129"/>
      <c r="R217" s="129"/>
      <c r="S217" s="129"/>
    </row>
    <row r="218" spans="12:19" ht="13.2">
      <c r="L218" s="129"/>
      <c r="M218" s="129"/>
      <c r="N218" s="129"/>
      <c r="O218" s="129"/>
      <c r="P218" s="129"/>
      <c r="Q218" s="129"/>
      <c r="R218" s="129"/>
      <c r="S218" s="129"/>
    </row>
    <row r="219" spans="12:19" ht="13.2">
      <c r="L219" s="129"/>
      <c r="M219" s="129"/>
      <c r="N219" s="129"/>
      <c r="O219" s="129"/>
      <c r="P219" s="129"/>
      <c r="Q219" s="129"/>
      <c r="R219" s="129"/>
      <c r="S219" s="129"/>
    </row>
    <row r="220" spans="12:19" ht="13.2">
      <c r="L220" s="129"/>
      <c r="M220" s="129"/>
      <c r="N220" s="129"/>
      <c r="O220" s="129"/>
      <c r="P220" s="129"/>
      <c r="Q220" s="129"/>
      <c r="R220" s="129"/>
      <c r="S220" s="129"/>
    </row>
    <row r="221" spans="12:19" ht="13.2">
      <c r="L221" s="129"/>
      <c r="M221" s="129"/>
      <c r="N221" s="129"/>
      <c r="O221" s="129"/>
      <c r="P221" s="129"/>
      <c r="Q221" s="129"/>
      <c r="R221" s="129"/>
      <c r="S221" s="129"/>
    </row>
    <row r="222" spans="12:19" ht="13.2">
      <c r="L222" s="132"/>
      <c r="M222" s="131"/>
      <c r="N222" s="131"/>
      <c r="O222" s="131"/>
      <c r="P222" s="131"/>
      <c r="Q222" s="131"/>
      <c r="R222" s="131"/>
      <c r="S222" s="131"/>
    </row>
    <row r="223" spans="12:19" ht="12.9" customHeight="1">
      <c r="L223" s="132"/>
      <c r="M223" s="131"/>
      <c r="N223" s="131"/>
      <c r="O223" s="131"/>
      <c r="P223" s="131"/>
      <c r="Q223" s="131"/>
      <c r="R223" s="131"/>
      <c r="S223" s="131"/>
    </row>
    <row r="224" spans="12:19" ht="12.9" customHeight="1">
      <c r="L224" s="132"/>
      <c r="M224" s="131"/>
      <c r="N224" s="131"/>
      <c r="O224" s="131"/>
      <c r="P224" s="131"/>
      <c r="Q224" s="131"/>
      <c r="R224" s="131"/>
      <c r="S224" s="131"/>
    </row>
    <row r="225" spans="12:19" ht="12.9" customHeight="1">
      <c r="L225" s="132"/>
      <c r="M225" s="131"/>
      <c r="N225" s="131"/>
      <c r="O225" s="131"/>
      <c r="P225" s="131"/>
      <c r="Q225" s="131"/>
      <c r="R225" s="131"/>
      <c r="S225" s="131"/>
    </row>
    <row r="226" spans="12:19" ht="12.9" customHeight="1">
      <c r="L226" s="132"/>
      <c r="M226" s="131"/>
      <c r="N226" s="131"/>
      <c r="O226" s="131"/>
      <c r="P226" s="131"/>
      <c r="Q226" s="131"/>
      <c r="R226" s="131"/>
      <c r="S226" s="131"/>
    </row>
  </sheetData>
  <mergeCells count="46">
    <mergeCell ref="B23:B24"/>
    <mergeCell ref="C23:C24"/>
    <mergeCell ref="S23:S24"/>
    <mergeCell ref="E127:J127"/>
    <mergeCell ref="M23:M24"/>
    <mergeCell ref="N23:N24"/>
    <mergeCell ref="O23:O24"/>
    <mergeCell ref="P23:P24"/>
    <mergeCell ref="Q23:Q24"/>
    <mergeCell ref="R23:R24"/>
    <mergeCell ref="L23:L24"/>
    <mergeCell ref="J23:J24"/>
    <mergeCell ref="H23:H24"/>
    <mergeCell ref="I23:I24"/>
    <mergeCell ref="G23:G24"/>
    <mergeCell ref="D23:D24"/>
    <mergeCell ref="E23:E24"/>
    <mergeCell ref="F23:F24"/>
    <mergeCell ref="G17:K17"/>
    <mergeCell ref="K23:K24"/>
    <mergeCell ref="E137:K137"/>
    <mergeCell ref="E138:K138"/>
    <mergeCell ref="E139:K139"/>
    <mergeCell ref="E140:K140"/>
    <mergeCell ref="E135:K135"/>
    <mergeCell ref="E136:K136"/>
    <mergeCell ref="E141:K141"/>
    <mergeCell ref="E142:K142"/>
    <mergeCell ref="E143:K143"/>
    <mergeCell ref="E144:K144"/>
    <mergeCell ref="E145:K145"/>
    <mergeCell ref="E152:K152"/>
    <mergeCell ref="E146:K146"/>
    <mergeCell ref="E153:K153"/>
    <mergeCell ref="E154:K154"/>
    <mergeCell ref="E155:K155"/>
    <mergeCell ref="E147:K147"/>
    <mergeCell ref="E148:K148"/>
    <mergeCell ref="E149:K149"/>
    <mergeCell ref="E150:K150"/>
    <mergeCell ref="E151:K151"/>
    <mergeCell ref="E156:K156"/>
    <mergeCell ref="E157:K157"/>
    <mergeCell ref="E159:K159"/>
    <mergeCell ref="E160:K160"/>
    <mergeCell ref="E158:K15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D94ED4-19EE-4FEB-A77D-0DB85285A0BF}">
          <x14:formula1>
            <xm:f>'Services to Beneficiaries'!$B$7:$B$17</xm:f>
          </x14:formula1>
          <xm:sqref>B27:B30 B32:B33 B35:B36 B38:B39 B43:B46 B48:B61 B64:B65 B67 B70:B72 B74:B75 B79:B89 B91 B95:B96 B98 B101 B103:B105 B107:B110 B113 B115:B120 B122 B124:B125 B129:B133 B147:B152 B142:B145 B154:B157 B159:B160 B136:B140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68D0-BCCB-4ACB-87C1-24ABB920946F}">
  <dimension ref="A1:S213"/>
  <sheetViews>
    <sheetView topLeftCell="A132" workbookViewId="0">
      <selection activeCell="A137" sqref="A137:A141"/>
    </sheetView>
  </sheetViews>
  <sheetFormatPr defaultColWidth="24.88671875" defaultRowHeight="13.2" outlineLevelRow="1" outlineLevelCol="1"/>
  <cols>
    <col min="1" max="1" width="3" style="14" customWidth="1"/>
    <col min="2" max="4" width="8.5546875" style="14" customWidth="1"/>
    <col min="5" max="5" width="86.88671875" style="17" customWidth="1"/>
    <col min="6" max="6" width="9" style="14" customWidth="1" outlineLevel="1"/>
    <col min="7" max="7" width="14.44140625" style="14" customWidth="1" outlineLevel="1"/>
    <col min="8" max="9" width="9.88671875" style="14" customWidth="1" outlineLevel="1"/>
    <col min="10" max="10" width="9.5546875" style="65" customWidth="1" outlineLevel="1"/>
    <col min="11" max="11" width="14.44140625" style="14" customWidth="1"/>
    <col min="12" max="12" width="19.109375" style="66" customWidth="1"/>
    <col min="13" max="17" width="19" style="16" customWidth="1" outlineLevel="1"/>
    <col min="18" max="19" width="19" style="16" customWidth="1"/>
    <col min="20" max="16384" width="24.88671875" style="14"/>
  </cols>
  <sheetData>
    <row r="1" spans="1:19">
      <c r="J1" s="14"/>
      <c r="L1" s="14"/>
      <c r="M1" s="14"/>
      <c r="N1" s="14"/>
      <c r="O1" s="14"/>
      <c r="P1" s="14"/>
      <c r="Q1" s="14"/>
      <c r="R1" s="14"/>
      <c r="S1" s="14"/>
    </row>
    <row r="2" spans="1:19" outlineLevel="1">
      <c r="J2" s="14"/>
      <c r="L2" s="14"/>
      <c r="M2" s="14"/>
      <c r="N2" s="14"/>
      <c r="O2" s="14"/>
      <c r="P2" s="14"/>
      <c r="Q2" s="14"/>
      <c r="R2" s="14"/>
      <c r="S2" s="14"/>
    </row>
    <row r="3" spans="1:19" ht="14.4" outlineLevel="1">
      <c r="E3"/>
      <c r="J3" s="14"/>
      <c r="L3" s="14"/>
      <c r="M3" s="14"/>
      <c r="N3" s="14"/>
      <c r="O3" s="14"/>
      <c r="P3" s="14"/>
      <c r="Q3" s="14"/>
      <c r="R3" s="14"/>
      <c r="S3" s="14"/>
    </row>
    <row r="4" spans="1:19" outlineLevel="1">
      <c r="J4" s="14"/>
      <c r="L4" s="14"/>
      <c r="M4" s="14"/>
      <c r="N4" s="14"/>
      <c r="O4" s="14"/>
      <c r="P4" s="14"/>
      <c r="Q4" s="14"/>
      <c r="R4" s="14"/>
      <c r="S4" s="14"/>
    </row>
    <row r="5" spans="1:19" ht="14.4" outlineLevel="1">
      <c r="E5"/>
      <c r="J5" s="14"/>
      <c r="L5" s="14"/>
      <c r="M5" s="14"/>
      <c r="N5" s="14"/>
      <c r="O5" s="14"/>
      <c r="P5" s="14"/>
      <c r="Q5" s="14"/>
      <c r="R5" s="14"/>
      <c r="S5" s="14"/>
    </row>
    <row r="6" spans="1:19" outlineLevel="1">
      <c r="J6" s="14"/>
      <c r="L6" s="14"/>
      <c r="M6" s="14"/>
      <c r="N6" s="14"/>
      <c r="O6" s="14"/>
      <c r="P6" s="14"/>
      <c r="Q6" s="14"/>
      <c r="R6" s="14"/>
      <c r="S6" s="14"/>
    </row>
    <row r="7" spans="1:19" outlineLevel="1">
      <c r="J7" s="14"/>
      <c r="L7" s="14"/>
      <c r="M7" s="14"/>
      <c r="N7" s="14"/>
      <c r="O7" s="14"/>
      <c r="P7" s="14"/>
      <c r="Q7" s="14"/>
      <c r="R7" s="14"/>
      <c r="S7" s="14"/>
    </row>
    <row r="8" spans="1:19" outlineLevel="1">
      <c r="J8" s="14"/>
      <c r="L8" s="14"/>
      <c r="M8" s="14"/>
      <c r="N8" s="14"/>
      <c r="O8" s="14"/>
      <c r="P8" s="14"/>
      <c r="Q8" s="14"/>
      <c r="R8" s="14"/>
      <c r="S8" s="14"/>
    </row>
    <row r="9" spans="1:19" outlineLevel="1">
      <c r="J9" s="14"/>
      <c r="L9" s="14"/>
      <c r="M9" s="14"/>
      <c r="N9" s="14"/>
      <c r="O9" s="14"/>
      <c r="P9" s="14"/>
      <c r="Q9" s="14"/>
      <c r="R9" s="14"/>
      <c r="S9" s="14"/>
    </row>
    <row r="10" spans="1:19" outlineLevel="1">
      <c r="J10" s="14"/>
      <c r="L10" s="14"/>
      <c r="M10" s="14"/>
      <c r="N10" s="14"/>
      <c r="O10" s="14"/>
      <c r="P10" s="14"/>
      <c r="Q10" s="14"/>
      <c r="R10" s="14"/>
      <c r="S10" s="14"/>
    </row>
    <row r="11" spans="1:19" outlineLevel="1">
      <c r="J11" s="14"/>
      <c r="L11" s="14"/>
      <c r="M11" s="14"/>
      <c r="N11" s="14"/>
      <c r="O11" s="14"/>
      <c r="P11" s="14"/>
      <c r="Q11" s="14"/>
      <c r="R11" s="14"/>
      <c r="S11" s="14"/>
    </row>
    <row r="12" spans="1:19" s="2" customFormat="1" ht="17.399999999999999">
      <c r="A12" s="1"/>
      <c r="B12" s="68"/>
      <c r="C12" s="68"/>
      <c r="D12" s="68"/>
      <c r="E12" s="203" t="s">
        <v>35</v>
      </c>
      <c r="F12" s="69"/>
      <c r="G12" s="70"/>
      <c r="H12" s="70"/>
      <c r="I12" s="70"/>
      <c r="J12" s="110"/>
      <c r="K12" s="70"/>
      <c r="L12" s="135"/>
      <c r="M12" s="136"/>
      <c r="N12" s="136"/>
      <c r="O12" s="136"/>
      <c r="P12" s="136"/>
      <c r="Q12" s="136"/>
      <c r="R12" s="136"/>
      <c r="S12" s="136"/>
    </row>
    <row r="13" spans="1:19" s="2" customFormat="1" ht="17.399999999999999">
      <c r="A13" s="1"/>
      <c r="B13" s="68"/>
      <c r="C13" s="68"/>
      <c r="D13" s="68"/>
      <c r="E13" s="203" t="s">
        <v>327</v>
      </c>
      <c r="F13" s="69"/>
      <c r="G13" s="70"/>
      <c r="H13" s="70"/>
      <c r="I13" s="70"/>
      <c r="J13" s="110"/>
      <c r="K13" s="70"/>
      <c r="L13" s="135"/>
      <c r="M13" s="136"/>
      <c r="N13" s="136"/>
      <c r="O13" s="136"/>
      <c r="P13" s="136"/>
      <c r="Q13" s="136"/>
      <c r="R13" s="136"/>
      <c r="S13" s="136"/>
    </row>
    <row r="14" spans="1:19" s="2" customFormat="1" ht="17.399999999999999">
      <c r="A14" s="1"/>
      <c r="E14" s="202" t="s">
        <v>37</v>
      </c>
      <c r="F14" s="69"/>
      <c r="G14" s="262"/>
      <c r="H14" s="262"/>
      <c r="I14" s="262"/>
      <c r="J14" s="262"/>
      <c r="K14" s="262"/>
      <c r="L14" s="137"/>
      <c r="M14" s="138"/>
      <c r="N14" s="138"/>
      <c r="O14" s="138"/>
      <c r="P14" s="138"/>
      <c r="Q14" s="138"/>
      <c r="R14" s="138"/>
      <c r="S14" s="138"/>
    </row>
    <row r="15" spans="1:19" s="2" customFormat="1" ht="17.399999999999999">
      <c r="A15" s="1"/>
      <c r="B15" s="68"/>
      <c r="C15" s="68"/>
      <c r="D15" s="68"/>
      <c r="E15" s="203" t="s">
        <v>38</v>
      </c>
      <c r="F15" s="69"/>
      <c r="G15" s="70"/>
      <c r="H15" s="70"/>
      <c r="I15" s="70"/>
      <c r="J15" s="110"/>
      <c r="K15" s="70"/>
      <c r="L15" s="139"/>
      <c r="M15" s="140"/>
      <c r="N15" s="140"/>
      <c r="O15" s="140"/>
      <c r="P15" s="140"/>
      <c r="Q15" s="140"/>
      <c r="R15" s="140"/>
      <c r="S15" s="140"/>
    </row>
    <row r="16" spans="1:19" s="2" customFormat="1" ht="17.399999999999999">
      <c r="A16" s="1"/>
      <c r="B16" s="68"/>
      <c r="C16" s="68"/>
      <c r="D16" s="68"/>
      <c r="E16" s="203" t="s">
        <v>39</v>
      </c>
      <c r="F16" s="69"/>
      <c r="G16" s="70"/>
      <c r="H16" s="70"/>
      <c r="I16" s="70"/>
      <c r="J16" s="110"/>
      <c r="K16" s="96"/>
      <c r="L16" s="135"/>
      <c r="M16" s="141"/>
      <c r="N16" s="142"/>
      <c r="O16" s="142"/>
      <c r="P16" s="142"/>
      <c r="Q16" s="142"/>
      <c r="R16" s="142"/>
      <c r="S16" s="142"/>
    </row>
    <row r="17" spans="1:19" s="2" customFormat="1" ht="17.399999999999999">
      <c r="A17" s="1"/>
      <c r="B17" s="68"/>
      <c r="C17" s="68"/>
      <c r="D17" s="68"/>
      <c r="E17" s="203" t="s">
        <v>40</v>
      </c>
      <c r="F17" s="69"/>
      <c r="G17" s="70"/>
      <c r="H17" s="70"/>
      <c r="I17" s="70"/>
      <c r="J17" s="110"/>
      <c r="K17" s="96"/>
      <c r="L17" s="135"/>
      <c r="M17" s="142"/>
      <c r="N17" s="142"/>
      <c r="O17" s="142"/>
      <c r="P17" s="142"/>
      <c r="Q17" s="142"/>
      <c r="R17" s="142"/>
      <c r="S17" s="142"/>
    </row>
    <row r="18" spans="1:19" s="18" customFormat="1" ht="12" customHeight="1" outlineLevel="1" thickBot="1">
      <c r="E18" s="19"/>
    </row>
    <row r="19" spans="1:19" s="3" customFormat="1" ht="11.25" customHeight="1">
      <c r="B19" s="272"/>
      <c r="C19" s="213"/>
      <c r="D19" s="272" t="s">
        <v>41</v>
      </c>
      <c r="E19" s="274" t="s">
        <v>1</v>
      </c>
      <c r="F19" s="276" t="s">
        <v>42</v>
      </c>
      <c r="G19" s="274" t="s">
        <v>43</v>
      </c>
      <c r="H19" s="274" t="s">
        <v>44</v>
      </c>
      <c r="I19" s="278" t="s">
        <v>45</v>
      </c>
      <c r="J19" s="280" t="s">
        <v>46</v>
      </c>
      <c r="K19" s="274" t="s">
        <v>47</v>
      </c>
      <c r="L19" s="284" t="s">
        <v>48</v>
      </c>
      <c r="M19" s="282" t="s">
        <v>49</v>
      </c>
      <c r="N19" s="282" t="s">
        <v>50</v>
      </c>
      <c r="O19" s="282" t="s">
        <v>51</v>
      </c>
      <c r="P19" s="282" t="s">
        <v>52</v>
      </c>
      <c r="Q19" s="282" t="s">
        <v>53</v>
      </c>
      <c r="R19" s="282" t="s">
        <v>54</v>
      </c>
      <c r="S19" s="282" t="s">
        <v>55</v>
      </c>
    </row>
    <row r="20" spans="1:19" s="3" customFormat="1" ht="48.9" customHeight="1">
      <c r="B20" s="273"/>
      <c r="C20" s="214"/>
      <c r="D20" s="273"/>
      <c r="E20" s="275"/>
      <c r="F20" s="277"/>
      <c r="G20" s="275" t="s">
        <v>56</v>
      </c>
      <c r="H20" s="275" t="s">
        <v>57</v>
      </c>
      <c r="I20" s="279"/>
      <c r="J20" s="281"/>
      <c r="K20" s="275"/>
      <c r="L20" s="285"/>
      <c r="M20" s="282"/>
      <c r="N20" s="282"/>
      <c r="O20" s="282"/>
      <c r="P20" s="282"/>
      <c r="Q20" s="282"/>
      <c r="R20" s="282"/>
      <c r="S20" s="282"/>
    </row>
    <row r="21" spans="1:19" s="5" customFormat="1" ht="34.65" customHeight="1">
      <c r="B21" s="6"/>
      <c r="C21" s="6"/>
      <c r="D21" s="6" t="s">
        <v>58</v>
      </c>
      <c r="E21" s="20" t="s">
        <v>328</v>
      </c>
      <c r="F21" s="7"/>
      <c r="G21" s="7"/>
      <c r="H21" s="7"/>
      <c r="I21" s="7"/>
      <c r="J21" s="21"/>
      <c r="K21" s="22"/>
      <c r="L21" s="23">
        <f t="shared" ref="L21:S21" si="0">SUM(L22,L24,L27,L32)</f>
        <v>64995.015679381417</v>
      </c>
      <c r="M21" s="8">
        <f t="shared" si="0"/>
        <v>12999.003135876284</v>
      </c>
      <c r="N21" s="8">
        <f t="shared" si="0"/>
        <v>12999.003135876284</v>
      </c>
      <c r="O21" s="8">
        <f t="shared" si="0"/>
        <v>12999.003135876284</v>
      </c>
      <c r="P21" s="8">
        <f t="shared" si="0"/>
        <v>12999.003135876284</v>
      </c>
      <c r="Q21" s="8">
        <f t="shared" si="0"/>
        <v>12999.003135876284</v>
      </c>
      <c r="R21" s="8">
        <f t="shared" si="0"/>
        <v>64995.015679381417</v>
      </c>
      <c r="S21" s="8">
        <f t="shared" si="0"/>
        <v>0</v>
      </c>
    </row>
    <row r="22" spans="1:19" s="10" customFormat="1" ht="35.1" customHeight="1">
      <c r="A22" s="9"/>
      <c r="B22" s="24"/>
      <c r="C22" s="24"/>
      <c r="D22" s="24" t="s">
        <v>60</v>
      </c>
      <c r="E22" s="26" t="s">
        <v>329</v>
      </c>
      <c r="F22" s="25"/>
      <c r="G22" s="25"/>
      <c r="H22" s="25"/>
      <c r="I22" s="25"/>
      <c r="J22" s="27"/>
      <c r="K22" s="28"/>
      <c r="L22" s="29">
        <f t="shared" ref="L22:S22" si="1">SUM(L23:L23)</f>
        <v>42685.724826474907</v>
      </c>
      <c r="M22" s="30">
        <f t="shared" si="1"/>
        <v>8537.1449652949814</v>
      </c>
      <c r="N22" s="30">
        <f t="shared" si="1"/>
        <v>8537.1449652949814</v>
      </c>
      <c r="O22" s="30">
        <f t="shared" si="1"/>
        <v>8537.1449652949814</v>
      </c>
      <c r="P22" s="30">
        <f t="shared" si="1"/>
        <v>8537.1449652949814</v>
      </c>
      <c r="Q22" s="30">
        <f t="shared" si="1"/>
        <v>8537.1449652949814</v>
      </c>
      <c r="R22" s="30">
        <f t="shared" si="1"/>
        <v>42685.724826474907</v>
      </c>
      <c r="S22" s="30">
        <f t="shared" si="1"/>
        <v>0</v>
      </c>
    </row>
    <row r="23" spans="1:19" s="9" customFormat="1">
      <c r="A23" s="31"/>
      <c r="B23" s="125"/>
      <c r="C23" s="125" t="str">
        <f>+IFERROR(VLOOKUP($B23, 'Services to Beneficiaries'!$B$7:$C$17, 2, 0), " ")</f>
        <v xml:space="preserve"> </v>
      </c>
      <c r="D23" s="32" t="s">
        <v>62</v>
      </c>
      <c r="E23" s="33" t="s">
        <v>330</v>
      </c>
      <c r="F23" s="34">
        <v>1</v>
      </c>
      <c r="G23" s="34" t="s">
        <v>331</v>
      </c>
      <c r="H23" s="34">
        <v>1</v>
      </c>
      <c r="I23" s="34" t="s">
        <v>332</v>
      </c>
      <c r="J23" s="35">
        <v>1</v>
      </c>
      <c r="K23" s="36">
        <v>42685.724826474907</v>
      </c>
      <c r="L23" s="37">
        <f>+H23*J23*K23*F23</f>
        <v>42685.724826474907</v>
      </c>
      <c r="M23" s="38">
        <f>$L23/5</f>
        <v>8537.1449652949814</v>
      </c>
      <c r="N23" s="38">
        <f>$L23/5</f>
        <v>8537.1449652949814</v>
      </c>
      <c r="O23" s="38">
        <f>$L23/5</f>
        <v>8537.1449652949814</v>
      </c>
      <c r="P23" s="38">
        <f>$L23/5</f>
        <v>8537.1449652949814</v>
      </c>
      <c r="Q23" s="38">
        <f>$L23/5</f>
        <v>8537.1449652949814</v>
      </c>
      <c r="R23" s="38">
        <f>$L23</f>
        <v>42685.724826474907</v>
      </c>
      <c r="S23" s="38"/>
    </row>
    <row r="24" spans="1:19" s="10" customFormat="1">
      <c r="A24" s="9"/>
      <c r="B24" s="24"/>
      <c r="C24" s="24"/>
      <c r="D24" s="24" t="s">
        <v>75</v>
      </c>
      <c r="E24" s="26" t="s">
        <v>333</v>
      </c>
      <c r="F24" s="25"/>
      <c r="G24" s="25"/>
      <c r="H24" s="25"/>
      <c r="I24" s="25"/>
      <c r="J24" s="27"/>
      <c r="K24" s="28"/>
      <c r="L24" s="29">
        <f t="shared" ref="L24:S24" si="2">SUM(L25:L26)</f>
        <v>9756.7371031942639</v>
      </c>
      <c r="M24" s="30">
        <f t="shared" si="2"/>
        <v>1951.3474206388528</v>
      </c>
      <c r="N24" s="30">
        <f t="shared" si="2"/>
        <v>1951.3474206388528</v>
      </c>
      <c r="O24" s="30">
        <f t="shared" si="2"/>
        <v>1951.3474206388528</v>
      </c>
      <c r="P24" s="30">
        <f t="shared" si="2"/>
        <v>1951.3474206388528</v>
      </c>
      <c r="Q24" s="30">
        <f t="shared" si="2"/>
        <v>1951.3474206388528</v>
      </c>
      <c r="R24" s="30">
        <f t="shared" si="2"/>
        <v>9756.7371031942639</v>
      </c>
      <c r="S24" s="30">
        <f t="shared" si="2"/>
        <v>0</v>
      </c>
    </row>
    <row r="25" spans="1:19" s="9" customFormat="1">
      <c r="A25" s="31"/>
      <c r="B25" s="125"/>
      <c r="C25" s="125" t="str">
        <f>+IFERROR(VLOOKUP($B25, 'Services to Beneficiaries'!$B$7:$C$17, 2, 0), " ")</f>
        <v xml:space="preserve"> </v>
      </c>
      <c r="D25" s="32" t="s">
        <v>77</v>
      </c>
      <c r="E25" s="33" t="s">
        <v>334</v>
      </c>
      <c r="F25" s="34">
        <v>5</v>
      </c>
      <c r="G25" s="34" t="s">
        <v>65</v>
      </c>
      <c r="H25" s="34">
        <v>1</v>
      </c>
      <c r="I25" s="34" t="s">
        <v>332</v>
      </c>
      <c r="J25" s="35">
        <v>1</v>
      </c>
      <c r="K25" s="36">
        <v>1829.3882068489245</v>
      </c>
      <c r="L25" s="37">
        <f>+H25*J25*K25*F25</f>
        <v>9146.9410342446226</v>
      </c>
      <c r="M25" s="38">
        <f t="shared" ref="M25:Q26" si="3">$L25/5</f>
        <v>1829.3882068489245</v>
      </c>
      <c r="N25" s="38">
        <f t="shared" si="3"/>
        <v>1829.3882068489245</v>
      </c>
      <c r="O25" s="38">
        <f t="shared" si="3"/>
        <v>1829.3882068489245</v>
      </c>
      <c r="P25" s="38">
        <f t="shared" si="3"/>
        <v>1829.3882068489245</v>
      </c>
      <c r="Q25" s="38">
        <f t="shared" si="3"/>
        <v>1829.3882068489245</v>
      </c>
      <c r="R25" s="38">
        <f>$L25</f>
        <v>9146.9410342446226</v>
      </c>
      <c r="S25" s="38"/>
    </row>
    <row r="26" spans="1:19" s="9" customFormat="1">
      <c r="A26" s="31"/>
      <c r="B26" s="125"/>
      <c r="C26" s="125" t="str">
        <f>+IFERROR(VLOOKUP($B26, 'Services to Beneficiaries'!$B$7:$C$17, 2, 0), " ")</f>
        <v xml:space="preserve"> </v>
      </c>
      <c r="D26" s="32" t="s">
        <v>78</v>
      </c>
      <c r="E26" s="33" t="s">
        <v>335</v>
      </c>
      <c r="F26" s="34">
        <v>5</v>
      </c>
      <c r="G26" s="34" t="s">
        <v>95</v>
      </c>
      <c r="H26" s="34">
        <v>1</v>
      </c>
      <c r="I26" s="34" t="s">
        <v>332</v>
      </c>
      <c r="J26" s="35">
        <v>1</v>
      </c>
      <c r="K26" s="36">
        <v>121.9592137899283</v>
      </c>
      <c r="L26" s="37">
        <f>+H26*J26*K26*F26</f>
        <v>609.79606894964149</v>
      </c>
      <c r="M26" s="38">
        <f t="shared" si="3"/>
        <v>121.9592137899283</v>
      </c>
      <c r="N26" s="38">
        <f t="shared" si="3"/>
        <v>121.9592137899283</v>
      </c>
      <c r="O26" s="38">
        <f t="shared" si="3"/>
        <v>121.9592137899283</v>
      </c>
      <c r="P26" s="38">
        <f t="shared" si="3"/>
        <v>121.9592137899283</v>
      </c>
      <c r="Q26" s="38">
        <f t="shared" si="3"/>
        <v>121.9592137899283</v>
      </c>
      <c r="R26" s="38">
        <f>$L26</f>
        <v>609.79606894964149</v>
      </c>
      <c r="S26" s="38"/>
    </row>
    <row r="27" spans="1:19" s="10" customFormat="1">
      <c r="A27" s="9"/>
      <c r="B27" s="24"/>
      <c r="C27" s="24"/>
      <c r="D27" s="24" t="s">
        <v>79</v>
      </c>
      <c r="E27" s="26" t="s">
        <v>80</v>
      </c>
      <c r="F27" s="25"/>
      <c r="G27" s="25"/>
      <c r="H27" s="25"/>
      <c r="I27" s="25"/>
      <c r="J27" s="27"/>
      <c r="K27" s="28"/>
      <c r="L27" s="29">
        <f t="shared" ref="L27:S27" si="4">SUM(L28:L31)</f>
        <v>7979.083232589941</v>
      </c>
      <c r="M27" s="30">
        <f t="shared" si="4"/>
        <v>1595.8166465179881</v>
      </c>
      <c r="N27" s="30">
        <f t="shared" si="4"/>
        <v>1595.8166465179881</v>
      </c>
      <c r="O27" s="30">
        <f t="shared" si="4"/>
        <v>1595.8166465179881</v>
      </c>
      <c r="P27" s="30">
        <f t="shared" si="4"/>
        <v>1595.8166465179881</v>
      </c>
      <c r="Q27" s="30">
        <f t="shared" si="4"/>
        <v>1595.8166465179881</v>
      </c>
      <c r="R27" s="30">
        <f t="shared" si="4"/>
        <v>7979.083232589941</v>
      </c>
      <c r="S27" s="30">
        <f t="shared" si="4"/>
        <v>0</v>
      </c>
    </row>
    <row r="28" spans="1:19" s="9" customFormat="1">
      <c r="A28" s="31"/>
      <c r="B28" s="125"/>
      <c r="C28" s="125" t="str">
        <f>+IFERROR(VLOOKUP($B28, 'Services to Beneficiaries'!$B$7:$C$17, 2, 0), " ")</f>
        <v xml:space="preserve"> </v>
      </c>
      <c r="D28" s="32" t="s">
        <v>81</v>
      </c>
      <c r="E28" s="33" t="s">
        <v>336</v>
      </c>
      <c r="F28" s="34">
        <v>4</v>
      </c>
      <c r="G28" s="34" t="s">
        <v>337</v>
      </c>
      <c r="H28" s="34">
        <v>1</v>
      </c>
      <c r="I28" s="34" t="s">
        <v>332</v>
      </c>
      <c r="J28" s="35">
        <v>1</v>
      </c>
      <c r="K28" s="36">
        <v>152.44901723741037</v>
      </c>
      <c r="L28" s="37">
        <f>+H28*J28*K28*F28</f>
        <v>609.79606894964149</v>
      </c>
      <c r="M28" s="38">
        <f t="shared" ref="M28:Q31" si="5">$L28/5</f>
        <v>121.9592137899283</v>
      </c>
      <c r="N28" s="38">
        <f t="shared" si="5"/>
        <v>121.9592137899283</v>
      </c>
      <c r="O28" s="38">
        <f t="shared" si="5"/>
        <v>121.9592137899283</v>
      </c>
      <c r="P28" s="38">
        <f t="shared" si="5"/>
        <v>121.9592137899283</v>
      </c>
      <c r="Q28" s="38">
        <f t="shared" si="5"/>
        <v>121.9592137899283</v>
      </c>
      <c r="R28" s="38">
        <f>$L28</f>
        <v>609.79606894964149</v>
      </c>
      <c r="S28" s="38"/>
    </row>
    <row r="29" spans="1:19" s="9" customFormat="1">
      <c r="A29" s="31"/>
      <c r="B29" s="125"/>
      <c r="C29" s="125" t="str">
        <f>+IFERROR(VLOOKUP($B29, 'Services to Beneficiaries'!$B$7:$C$17, 2, 0), " ")</f>
        <v xml:space="preserve"> </v>
      </c>
      <c r="D29" s="32" t="s">
        <v>82</v>
      </c>
      <c r="E29" s="33" t="s">
        <v>338</v>
      </c>
      <c r="F29" s="34">
        <v>7</v>
      </c>
      <c r="G29" s="34" t="s">
        <v>339</v>
      </c>
      <c r="H29" s="34">
        <v>1</v>
      </c>
      <c r="I29" s="34" t="s">
        <v>332</v>
      </c>
      <c r="J29" s="35">
        <v>1</v>
      </c>
      <c r="K29" s="36">
        <v>76.224508618705187</v>
      </c>
      <c r="L29" s="37">
        <f>+H29*J29*K29*F29</f>
        <v>533.57156033093634</v>
      </c>
      <c r="M29" s="38">
        <f t="shared" si="5"/>
        <v>106.71431206618726</v>
      </c>
      <c r="N29" s="38">
        <f t="shared" si="5"/>
        <v>106.71431206618726</v>
      </c>
      <c r="O29" s="38">
        <f t="shared" si="5"/>
        <v>106.71431206618726</v>
      </c>
      <c r="P29" s="38">
        <f t="shared" si="5"/>
        <v>106.71431206618726</v>
      </c>
      <c r="Q29" s="38">
        <f t="shared" si="5"/>
        <v>106.71431206618726</v>
      </c>
      <c r="R29" s="38">
        <f>$L29</f>
        <v>533.57156033093634</v>
      </c>
      <c r="S29" s="38"/>
    </row>
    <row r="30" spans="1:19" s="9" customFormat="1">
      <c r="A30" s="31"/>
      <c r="B30" s="125"/>
      <c r="C30" s="125" t="str">
        <f>+IFERROR(VLOOKUP($B30, 'Services to Beneficiaries'!$B$7:$C$17, 2, 0), " ")</f>
        <v xml:space="preserve"> </v>
      </c>
      <c r="D30" s="32" t="s">
        <v>340</v>
      </c>
      <c r="E30" s="33" t="s">
        <v>341</v>
      </c>
      <c r="F30" s="34">
        <v>1</v>
      </c>
      <c r="G30" s="34" t="s">
        <v>342</v>
      </c>
      <c r="H30" s="34">
        <v>1</v>
      </c>
      <c r="I30" s="34" t="s">
        <v>332</v>
      </c>
      <c r="J30" s="35">
        <v>1</v>
      </c>
      <c r="K30" s="36">
        <v>5335.7156033093634</v>
      </c>
      <c r="L30" s="37">
        <f>+H30*J30*K30*F30</f>
        <v>5335.7156033093634</v>
      </c>
      <c r="M30" s="38">
        <f t="shared" si="5"/>
        <v>1067.1431206618727</v>
      </c>
      <c r="N30" s="38">
        <f t="shared" si="5"/>
        <v>1067.1431206618727</v>
      </c>
      <c r="O30" s="38">
        <f t="shared" si="5"/>
        <v>1067.1431206618727</v>
      </c>
      <c r="P30" s="38">
        <f t="shared" si="5"/>
        <v>1067.1431206618727</v>
      </c>
      <c r="Q30" s="38">
        <f t="shared" si="5"/>
        <v>1067.1431206618727</v>
      </c>
      <c r="R30" s="38">
        <f>$L30</f>
        <v>5335.7156033093634</v>
      </c>
      <c r="S30" s="38"/>
    </row>
    <row r="31" spans="1:19" s="9" customFormat="1">
      <c r="A31" s="31"/>
      <c r="B31" s="125"/>
      <c r="C31" s="125" t="str">
        <f>+IFERROR(VLOOKUP($B31, 'Services to Beneficiaries'!$B$7:$C$17, 2, 0), " ")</f>
        <v xml:space="preserve"> </v>
      </c>
      <c r="D31" s="32" t="s">
        <v>343</v>
      </c>
      <c r="E31" s="33" t="s">
        <v>344</v>
      </c>
      <c r="F31" s="34">
        <v>1</v>
      </c>
      <c r="G31" s="34" t="s">
        <v>345</v>
      </c>
      <c r="H31" s="34">
        <v>1</v>
      </c>
      <c r="I31" s="34" t="s">
        <v>332</v>
      </c>
      <c r="J31" s="35">
        <v>1</v>
      </c>
      <c r="K31" s="36">
        <v>1500</v>
      </c>
      <c r="L31" s="37">
        <f>+H31*J31*K31*F31</f>
        <v>1500</v>
      </c>
      <c r="M31" s="38">
        <f t="shared" si="5"/>
        <v>300</v>
      </c>
      <c r="N31" s="38">
        <f t="shared" si="5"/>
        <v>300</v>
      </c>
      <c r="O31" s="38">
        <f t="shared" si="5"/>
        <v>300</v>
      </c>
      <c r="P31" s="38">
        <f t="shared" si="5"/>
        <v>300</v>
      </c>
      <c r="Q31" s="38">
        <f t="shared" si="5"/>
        <v>300</v>
      </c>
      <c r="R31" s="38">
        <f>$L31</f>
        <v>1500</v>
      </c>
      <c r="S31" s="38"/>
    </row>
    <row r="32" spans="1:19" s="10" customFormat="1">
      <c r="A32" s="9"/>
      <c r="B32" s="24"/>
      <c r="C32" s="24"/>
      <c r="D32" s="24" t="s">
        <v>83</v>
      </c>
      <c r="E32" s="26" t="s">
        <v>84</v>
      </c>
      <c r="F32" s="25"/>
      <c r="G32" s="25"/>
      <c r="H32" s="25"/>
      <c r="I32" s="25"/>
      <c r="J32" s="27"/>
      <c r="K32" s="28"/>
      <c r="L32" s="29">
        <f t="shared" ref="L32:S32" si="6">SUM(L33:L35)</f>
        <v>4573.4705171223113</v>
      </c>
      <c r="M32" s="30">
        <f t="shared" si="6"/>
        <v>914.69410342446213</v>
      </c>
      <c r="N32" s="30">
        <f t="shared" si="6"/>
        <v>914.69410342446213</v>
      </c>
      <c r="O32" s="30">
        <f t="shared" si="6"/>
        <v>914.69410342446213</v>
      </c>
      <c r="P32" s="30">
        <f t="shared" si="6"/>
        <v>914.69410342446213</v>
      </c>
      <c r="Q32" s="30">
        <f t="shared" si="6"/>
        <v>914.69410342446213</v>
      </c>
      <c r="R32" s="30">
        <f t="shared" si="6"/>
        <v>4573.4705171223113</v>
      </c>
      <c r="S32" s="30">
        <f t="shared" si="6"/>
        <v>0</v>
      </c>
    </row>
    <row r="33" spans="1:19" s="9" customFormat="1">
      <c r="A33" s="31"/>
      <c r="B33" s="125"/>
      <c r="C33" s="125" t="str">
        <f>+IFERROR(VLOOKUP($B33, 'Services to Beneficiaries'!$B$7:$C$17, 2, 0), " ")</f>
        <v xml:space="preserve"> </v>
      </c>
      <c r="D33" s="32" t="s">
        <v>85</v>
      </c>
      <c r="E33" s="33" t="s">
        <v>346</v>
      </c>
      <c r="F33" s="34">
        <v>1</v>
      </c>
      <c r="G33" s="34" t="s">
        <v>68</v>
      </c>
      <c r="H33" s="34">
        <v>1</v>
      </c>
      <c r="I33" s="34" t="s">
        <v>332</v>
      </c>
      <c r="J33" s="35">
        <v>1</v>
      </c>
      <c r="K33" s="36">
        <v>1524.4901723741038</v>
      </c>
      <c r="L33" s="37">
        <f>+H33*J33*K33*F33</f>
        <v>1524.4901723741038</v>
      </c>
      <c r="M33" s="38">
        <f t="shared" ref="M33:Q35" si="7">$L33/5</f>
        <v>304.89803447482075</v>
      </c>
      <c r="N33" s="38">
        <f t="shared" si="7"/>
        <v>304.89803447482075</v>
      </c>
      <c r="O33" s="38">
        <f t="shared" si="7"/>
        <v>304.89803447482075</v>
      </c>
      <c r="P33" s="38">
        <f t="shared" si="7"/>
        <v>304.89803447482075</v>
      </c>
      <c r="Q33" s="38">
        <f t="shared" si="7"/>
        <v>304.89803447482075</v>
      </c>
      <c r="R33" s="38">
        <f>$L33</f>
        <v>1524.4901723741038</v>
      </c>
      <c r="S33" s="38"/>
    </row>
    <row r="34" spans="1:19" s="9" customFormat="1">
      <c r="A34" s="31"/>
      <c r="B34" s="125"/>
      <c r="C34" s="125" t="str">
        <f>+IFERROR(VLOOKUP($B34, 'Services to Beneficiaries'!$B$7:$C$17, 2, 0), " ")</f>
        <v xml:space="preserve"> </v>
      </c>
      <c r="D34" s="32" t="s">
        <v>86</v>
      </c>
      <c r="E34" s="33" t="s">
        <v>347</v>
      </c>
      <c r="F34" s="34">
        <v>6</v>
      </c>
      <c r="G34" s="34" t="s">
        <v>345</v>
      </c>
      <c r="H34" s="34">
        <v>1</v>
      </c>
      <c r="I34" s="34" t="s">
        <v>332</v>
      </c>
      <c r="J34" s="35">
        <v>1</v>
      </c>
      <c r="K34" s="36">
        <v>381.12254309352596</v>
      </c>
      <c r="L34" s="37">
        <f>+H34*J34*K34*F34</f>
        <v>2286.7352585611557</v>
      </c>
      <c r="M34" s="38">
        <f t="shared" si="7"/>
        <v>457.34705171223112</v>
      </c>
      <c r="N34" s="38">
        <f t="shared" si="7"/>
        <v>457.34705171223112</v>
      </c>
      <c r="O34" s="38">
        <f t="shared" si="7"/>
        <v>457.34705171223112</v>
      </c>
      <c r="P34" s="38">
        <f t="shared" si="7"/>
        <v>457.34705171223112</v>
      </c>
      <c r="Q34" s="38">
        <f t="shared" si="7"/>
        <v>457.34705171223112</v>
      </c>
      <c r="R34" s="38">
        <f>$L34</f>
        <v>2286.7352585611557</v>
      </c>
      <c r="S34" s="38"/>
    </row>
    <row r="35" spans="1:19" s="9" customFormat="1">
      <c r="A35" s="31"/>
      <c r="B35" s="125"/>
      <c r="C35" s="125" t="str">
        <f>+IFERROR(VLOOKUP($B35, 'Services to Beneficiaries'!$B$7:$C$17, 2, 0), " ")</f>
        <v xml:space="preserve"> </v>
      </c>
      <c r="D35" s="32" t="s">
        <v>348</v>
      </c>
      <c r="E35" s="33" t="s">
        <v>349</v>
      </c>
      <c r="F35" s="34">
        <v>1</v>
      </c>
      <c r="G35" s="34" t="s">
        <v>345</v>
      </c>
      <c r="H35" s="34">
        <v>1</v>
      </c>
      <c r="I35" s="34" t="s">
        <v>332</v>
      </c>
      <c r="J35" s="35">
        <v>1</v>
      </c>
      <c r="K35" s="36">
        <v>762.24508618705192</v>
      </c>
      <c r="L35" s="37">
        <f>+H35*J35*K35*F35</f>
        <v>762.24508618705192</v>
      </c>
      <c r="M35" s="38">
        <f t="shared" si="7"/>
        <v>152.44901723741037</v>
      </c>
      <c r="N35" s="38">
        <f t="shared" si="7"/>
        <v>152.44901723741037</v>
      </c>
      <c r="O35" s="38">
        <f t="shared" si="7"/>
        <v>152.44901723741037</v>
      </c>
      <c r="P35" s="38">
        <f t="shared" si="7"/>
        <v>152.44901723741037</v>
      </c>
      <c r="Q35" s="38">
        <f t="shared" si="7"/>
        <v>152.44901723741037</v>
      </c>
      <c r="R35" s="38">
        <f>$L35</f>
        <v>762.24508618705192</v>
      </c>
      <c r="S35" s="38"/>
    </row>
    <row r="36" spans="1:19" s="5" customFormat="1" ht="15.6">
      <c r="B36" s="6"/>
      <c r="C36" s="6"/>
      <c r="D36" s="6" t="s">
        <v>87</v>
      </c>
      <c r="E36" s="20" t="s">
        <v>88</v>
      </c>
      <c r="F36" s="7"/>
      <c r="G36" s="7"/>
      <c r="H36" s="7"/>
      <c r="I36" s="7"/>
      <c r="J36" s="21"/>
      <c r="K36" s="22"/>
      <c r="L36" s="23">
        <f t="shared" ref="L36:S36" si="8">SUM(L37,L65,L70)</f>
        <v>395823.45428792865</v>
      </c>
      <c r="M36" s="8">
        <f t="shared" si="8"/>
        <v>79164.690857585752</v>
      </c>
      <c r="N36" s="8">
        <f t="shared" si="8"/>
        <v>79164.690857585752</v>
      </c>
      <c r="O36" s="8">
        <f t="shared" si="8"/>
        <v>79164.690857585752</v>
      </c>
      <c r="P36" s="8">
        <f t="shared" si="8"/>
        <v>79164.690857585752</v>
      </c>
      <c r="Q36" s="8">
        <f t="shared" si="8"/>
        <v>79164.690857585752</v>
      </c>
      <c r="R36" s="8">
        <f t="shared" si="8"/>
        <v>197911.72714396432</v>
      </c>
      <c r="S36" s="8">
        <f t="shared" si="8"/>
        <v>197911.72714396432</v>
      </c>
    </row>
    <row r="37" spans="1:19" s="10" customFormat="1">
      <c r="A37" s="9"/>
      <c r="B37" s="24"/>
      <c r="C37" s="24"/>
      <c r="D37" s="24" t="s">
        <v>89</v>
      </c>
      <c r="E37" s="26" t="s">
        <v>90</v>
      </c>
      <c r="F37" s="25"/>
      <c r="G37" s="25"/>
      <c r="H37" s="25"/>
      <c r="I37" s="25"/>
      <c r="J37" s="27"/>
      <c r="K37" s="28"/>
      <c r="L37" s="29">
        <f t="shared" ref="L37:S37" si="9">L38+L50</f>
        <v>300190.36906382581</v>
      </c>
      <c r="M37" s="30">
        <f t="shared" si="9"/>
        <v>60038.073812765186</v>
      </c>
      <c r="N37" s="30">
        <f t="shared" si="9"/>
        <v>60038.073812765186</v>
      </c>
      <c r="O37" s="30">
        <f t="shared" si="9"/>
        <v>60038.073812765186</v>
      </c>
      <c r="P37" s="30">
        <f t="shared" si="9"/>
        <v>60038.073812765186</v>
      </c>
      <c r="Q37" s="30">
        <f t="shared" si="9"/>
        <v>60038.073812765186</v>
      </c>
      <c r="R37" s="30">
        <f t="shared" si="9"/>
        <v>150095.18453191291</v>
      </c>
      <c r="S37" s="30">
        <f t="shared" si="9"/>
        <v>150095.18453191291</v>
      </c>
    </row>
    <row r="38" spans="1:19" s="39" customFormat="1">
      <c r="B38" s="40"/>
      <c r="C38" s="40"/>
      <c r="D38" s="40" t="s">
        <v>91</v>
      </c>
      <c r="E38" s="41" t="s">
        <v>92</v>
      </c>
      <c r="F38" s="40"/>
      <c r="G38" s="40"/>
      <c r="H38" s="40"/>
      <c r="I38" s="40"/>
      <c r="J38" s="42"/>
      <c r="K38" s="40"/>
      <c r="L38" s="43">
        <f t="shared" ref="L38:S38" si="10">SUM(L39:L49)</f>
        <v>226353.48548761581</v>
      </c>
      <c r="M38" s="44">
        <f t="shared" si="10"/>
        <v>45270.697097523174</v>
      </c>
      <c r="N38" s="44">
        <f t="shared" si="10"/>
        <v>45270.697097523174</v>
      </c>
      <c r="O38" s="44">
        <f t="shared" si="10"/>
        <v>45270.697097523174</v>
      </c>
      <c r="P38" s="44">
        <f t="shared" si="10"/>
        <v>45270.697097523174</v>
      </c>
      <c r="Q38" s="44">
        <f t="shared" si="10"/>
        <v>45270.697097523174</v>
      </c>
      <c r="R38" s="44">
        <f t="shared" si="10"/>
        <v>113176.7427438079</v>
      </c>
      <c r="S38" s="44">
        <f t="shared" si="10"/>
        <v>113176.7427438079</v>
      </c>
    </row>
    <row r="39" spans="1:19" s="9" customFormat="1">
      <c r="A39" s="31"/>
      <c r="B39" s="125"/>
      <c r="C39" s="125" t="str">
        <f>+IFERROR(VLOOKUP($B39, 'Services to Beneficiaries'!$B$7:$C$17, 2, 0), " ")</f>
        <v xml:space="preserve"> </v>
      </c>
      <c r="D39" s="32" t="s">
        <v>93</v>
      </c>
      <c r="E39" s="33" t="s">
        <v>350</v>
      </c>
      <c r="F39" s="34">
        <v>1</v>
      </c>
      <c r="G39" s="34" t="s">
        <v>95</v>
      </c>
      <c r="H39" s="34">
        <v>24</v>
      </c>
      <c r="I39" s="34" t="s">
        <v>351</v>
      </c>
      <c r="J39" s="35">
        <v>1</v>
      </c>
      <c r="K39" s="36">
        <v>2753.9396637279578</v>
      </c>
      <c r="L39" s="37">
        <f t="shared" ref="L39:L49" si="11">+H39*J39*K39*F39</f>
        <v>66094.551929470996</v>
      </c>
      <c r="M39" s="38">
        <f t="shared" ref="M39:Q49" si="12">$L39/5</f>
        <v>13218.9103858942</v>
      </c>
      <c r="N39" s="38">
        <f t="shared" si="12"/>
        <v>13218.9103858942</v>
      </c>
      <c r="O39" s="38">
        <f t="shared" si="12"/>
        <v>13218.9103858942</v>
      </c>
      <c r="P39" s="38">
        <f t="shared" si="12"/>
        <v>13218.9103858942</v>
      </c>
      <c r="Q39" s="38">
        <f t="shared" si="12"/>
        <v>13218.9103858942</v>
      </c>
      <c r="R39" s="38">
        <f t="shared" ref="R39:S49" si="13">$L39/2</f>
        <v>33047.275964735498</v>
      </c>
      <c r="S39" s="38">
        <f t="shared" si="13"/>
        <v>33047.275964735498</v>
      </c>
    </row>
    <row r="40" spans="1:19" s="9" customFormat="1">
      <c r="A40" s="31"/>
      <c r="B40" s="125"/>
      <c r="C40" s="125" t="str">
        <f>+IFERROR(VLOOKUP($B40, 'Services to Beneficiaries'!$B$7:$C$17, 2, 0), " ")</f>
        <v xml:space="preserve"> </v>
      </c>
      <c r="D40" s="32" t="s">
        <v>97</v>
      </c>
      <c r="E40" s="33" t="s">
        <v>352</v>
      </c>
      <c r="F40" s="34">
        <v>1</v>
      </c>
      <c r="G40" s="34" t="s">
        <v>95</v>
      </c>
      <c r="H40" s="34">
        <v>24</v>
      </c>
      <c r="I40" s="34" t="s">
        <v>351</v>
      </c>
      <c r="J40" s="35">
        <v>1</v>
      </c>
      <c r="K40" s="36">
        <v>1711.258512372</v>
      </c>
      <c r="L40" s="37">
        <f t="shared" si="11"/>
        <v>41070.204296928001</v>
      </c>
      <c r="M40" s="38">
        <f t="shared" si="12"/>
        <v>8214.0408593856009</v>
      </c>
      <c r="N40" s="38">
        <f t="shared" si="12"/>
        <v>8214.0408593856009</v>
      </c>
      <c r="O40" s="38">
        <f t="shared" si="12"/>
        <v>8214.0408593856009</v>
      </c>
      <c r="P40" s="38">
        <f t="shared" si="12"/>
        <v>8214.0408593856009</v>
      </c>
      <c r="Q40" s="38">
        <f t="shared" si="12"/>
        <v>8214.0408593856009</v>
      </c>
      <c r="R40" s="38">
        <f t="shared" si="13"/>
        <v>20535.102148464</v>
      </c>
      <c r="S40" s="38">
        <f t="shared" si="13"/>
        <v>20535.102148464</v>
      </c>
    </row>
    <row r="41" spans="1:19" s="9" customFormat="1">
      <c r="A41" s="31"/>
      <c r="B41" s="125"/>
      <c r="C41" s="125" t="str">
        <f>+IFERROR(VLOOKUP($B41, 'Services to Beneficiaries'!$B$7:$C$17, 2, 0), " ")</f>
        <v xml:space="preserve"> </v>
      </c>
      <c r="D41" s="32" t="s">
        <v>99</v>
      </c>
      <c r="E41" s="33" t="s">
        <v>353</v>
      </c>
      <c r="F41" s="34">
        <v>1</v>
      </c>
      <c r="G41" s="34" t="s">
        <v>95</v>
      </c>
      <c r="H41" s="34">
        <v>24</v>
      </c>
      <c r="I41" s="34" t="s">
        <v>351</v>
      </c>
      <c r="J41" s="35">
        <v>1</v>
      </c>
      <c r="K41" s="36">
        <v>1711.258512372</v>
      </c>
      <c r="L41" s="37">
        <f t="shared" si="11"/>
        <v>41070.204296928001</v>
      </c>
      <c r="M41" s="38">
        <f t="shared" si="12"/>
        <v>8214.0408593856009</v>
      </c>
      <c r="N41" s="38">
        <f t="shared" si="12"/>
        <v>8214.0408593856009</v>
      </c>
      <c r="O41" s="38">
        <f t="shared" si="12"/>
        <v>8214.0408593856009</v>
      </c>
      <c r="P41" s="38">
        <f t="shared" si="12"/>
        <v>8214.0408593856009</v>
      </c>
      <c r="Q41" s="38">
        <f t="shared" si="12"/>
        <v>8214.0408593856009</v>
      </c>
      <c r="R41" s="38">
        <f t="shared" si="13"/>
        <v>20535.102148464</v>
      </c>
      <c r="S41" s="38">
        <f t="shared" si="13"/>
        <v>20535.102148464</v>
      </c>
    </row>
    <row r="42" spans="1:19" s="9" customFormat="1">
      <c r="A42" s="31"/>
      <c r="B42" s="125"/>
      <c r="C42" s="125" t="str">
        <f>+IFERROR(VLOOKUP($B42, 'Services to Beneficiaries'!$B$7:$C$17, 2, 0), " ")</f>
        <v xml:space="preserve"> </v>
      </c>
      <c r="D42" s="32" t="s">
        <v>101</v>
      </c>
      <c r="E42" s="33" t="s">
        <v>354</v>
      </c>
      <c r="F42" s="34">
        <v>1</v>
      </c>
      <c r="G42" s="34" t="s">
        <v>95</v>
      </c>
      <c r="H42" s="34">
        <v>24</v>
      </c>
      <c r="I42" s="34" t="s">
        <v>351</v>
      </c>
      <c r="J42" s="35">
        <v>0.1</v>
      </c>
      <c r="K42" s="36">
        <v>2359.0082886530672</v>
      </c>
      <c r="L42" s="37">
        <f t="shared" si="11"/>
        <v>5661.6198927673622</v>
      </c>
      <c r="M42" s="38">
        <f t="shared" si="12"/>
        <v>1132.3239785534724</v>
      </c>
      <c r="N42" s="38">
        <f t="shared" si="12"/>
        <v>1132.3239785534724</v>
      </c>
      <c r="O42" s="38">
        <f t="shared" si="12"/>
        <v>1132.3239785534724</v>
      </c>
      <c r="P42" s="38">
        <f t="shared" si="12"/>
        <v>1132.3239785534724</v>
      </c>
      <c r="Q42" s="38">
        <f t="shared" si="12"/>
        <v>1132.3239785534724</v>
      </c>
      <c r="R42" s="38">
        <f t="shared" si="13"/>
        <v>2830.8099463836811</v>
      </c>
      <c r="S42" s="38">
        <f t="shared" si="13"/>
        <v>2830.8099463836811</v>
      </c>
    </row>
    <row r="43" spans="1:19" s="9" customFormat="1">
      <c r="A43" s="31"/>
      <c r="B43" s="125"/>
      <c r="C43" s="125" t="str">
        <f>+IFERROR(VLOOKUP($B43, 'Services to Beneficiaries'!$B$7:$C$17, 2, 0), " ")</f>
        <v xml:space="preserve"> </v>
      </c>
      <c r="D43" s="32" t="s">
        <v>355</v>
      </c>
      <c r="E43" s="33" t="s">
        <v>356</v>
      </c>
      <c r="F43" s="34">
        <v>1</v>
      </c>
      <c r="G43" s="34" t="s">
        <v>95</v>
      </c>
      <c r="H43" s="34">
        <v>24</v>
      </c>
      <c r="I43" s="34" t="s">
        <v>351</v>
      </c>
      <c r="J43" s="35">
        <v>1</v>
      </c>
      <c r="K43" s="36">
        <v>804.75092117318661</v>
      </c>
      <c r="L43" s="37">
        <f t="shared" si="11"/>
        <v>19314.022108156478</v>
      </c>
      <c r="M43" s="38">
        <f t="shared" si="12"/>
        <v>3862.8044216312956</v>
      </c>
      <c r="N43" s="38">
        <f t="shared" si="12"/>
        <v>3862.8044216312956</v>
      </c>
      <c r="O43" s="38">
        <f t="shared" si="12"/>
        <v>3862.8044216312956</v>
      </c>
      <c r="P43" s="38">
        <f t="shared" si="12"/>
        <v>3862.8044216312956</v>
      </c>
      <c r="Q43" s="38">
        <f t="shared" si="12"/>
        <v>3862.8044216312956</v>
      </c>
      <c r="R43" s="38">
        <f t="shared" si="13"/>
        <v>9657.0110540782389</v>
      </c>
      <c r="S43" s="38">
        <f t="shared" si="13"/>
        <v>9657.0110540782389</v>
      </c>
    </row>
    <row r="44" spans="1:19" s="9" customFormat="1">
      <c r="A44" s="31"/>
      <c r="B44" s="125"/>
      <c r="C44" s="125" t="str">
        <f>+IFERROR(VLOOKUP($B44, 'Services to Beneficiaries'!$B$7:$C$17, 2, 0), " ")</f>
        <v xml:space="preserve"> </v>
      </c>
      <c r="D44" s="32" t="s">
        <v>357</v>
      </c>
      <c r="E44" s="33" t="s">
        <v>358</v>
      </c>
      <c r="F44" s="34">
        <v>1</v>
      </c>
      <c r="G44" s="34" t="s">
        <v>95</v>
      </c>
      <c r="H44" s="34">
        <v>24</v>
      </c>
      <c r="I44" s="34" t="s">
        <v>351</v>
      </c>
      <c r="J44" s="35">
        <v>0.1</v>
      </c>
      <c r="K44" s="36">
        <v>3045.8216011110485</v>
      </c>
      <c r="L44" s="37">
        <f t="shared" si="11"/>
        <v>7309.9718426665177</v>
      </c>
      <c r="M44" s="38">
        <f t="shared" si="12"/>
        <v>1461.9943685333035</v>
      </c>
      <c r="N44" s="38">
        <f t="shared" si="12"/>
        <v>1461.9943685333035</v>
      </c>
      <c r="O44" s="38">
        <f t="shared" si="12"/>
        <v>1461.9943685333035</v>
      </c>
      <c r="P44" s="38">
        <f t="shared" si="12"/>
        <v>1461.9943685333035</v>
      </c>
      <c r="Q44" s="38">
        <f t="shared" si="12"/>
        <v>1461.9943685333035</v>
      </c>
      <c r="R44" s="38">
        <f t="shared" si="13"/>
        <v>3654.9859213332588</v>
      </c>
      <c r="S44" s="38">
        <f t="shared" si="13"/>
        <v>3654.9859213332588</v>
      </c>
    </row>
    <row r="45" spans="1:19" s="9" customFormat="1">
      <c r="A45" s="31"/>
      <c r="B45" s="125"/>
      <c r="C45" s="125" t="str">
        <f>+IFERROR(VLOOKUP($B45, 'Services to Beneficiaries'!$B$7:$C$17, 2, 0), " ")</f>
        <v xml:space="preserve"> </v>
      </c>
      <c r="D45" s="32" t="s">
        <v>359</v>
      </c>
      <c r="E45" s="33" t="s">
        <v>360</v>
      </c>
      <c r="F45" s="34">
        <v>1</v>
      </c>
      <c r="G45" s="34" t="s">
        <v>95</v>
      </c>
      <c r="H45" s="34">
        <v>24</v>
      </c>
      <c r="I45" s="34" t="s">
        <v>351</v>
      </c>
      <c r="J45" s="35">
        <v>7.0000000000000007E-2</v>
      </c>
      <c r="K45" s="36">
        <v>2753.9396637279578</v>
      </c>
      <c r="L45" s="37">
        <f t="shared" si="11"/>
        <v>4626.6186350629696</v>
      </c>
      <c r="M45" s="38">
        <f t="shared" si="12"/>
        <v>925.32372701259396</v>
      </c>
      <c r="N45" s="38">
        <f t="shared" si="12"/>
        <v>925.32372701259396</v>
      </c>
      <c r="O45" s="38">
        <f t="shared" si="12"/>
        <v>925.32372701259396</v>
      </c>
      <c r="P45" s="38">
        <f t="shared" si="12"/>
        <v>925.32372701259396</v>
      </c>
      <c r="Q45" s="38">
        <f t="shared" si="12"/>
        <v>925.32372701259396</v>
      </c>
      <c r="R45" s="38">
        <f t="shared" si="13"/>
        <v>2313.3093175314848</v>
      </c>
      <c r="S45" s="38">
        <f t="shared" si="13"/>
        <v>2313.3093175314848</v>
      </c>
    </row>
    <row r="46" spans="1:19" s="9" customFormat="1">
      <c r="A46" s="31"/>
      <c r="B46" s="125"/>
      <c r="C46" s="125" t="str">
        <f>+IFERROR(VLOOKUP($B46, 'Services to Beneficiaries'!$B$7:$C$17, 2, 0), " ")</f>
        <v xml:space="preserve"> </v>
      </c>
      <c r="D46" s="32" t="s">
        <v>361</v>
      </c>
      <c r="E46" s="33" t="s">
        <v>362</v>
      </c>
      <c r="F46" s="34">
        <v>1</v>
      </c>
      <c r="G46" s="34" t="s">
        <v>95</v>
      </c>
      <c r="H46" s="34">
        <v>24</v>
      </c>
      <c r="I46" s="34" t="s">
        <v>351</v>
      </c>
      <c r="J46" s="35">
        <v>0.1</v>
      </c>
      <c r="K46" s="36">
        <v>3045.8216011110485</v>
      </c>
      <c r="L46" s="37">
        <f t="shared" si="11"/>
        <v>7309.9718426665177</v>
      </c>
      <c r="M46" s="38">
        <f t="shared" si="12"/>
        <v>1461.9943685333035</v>
      </c>
      <c r="N46" s="38">
        <f t="shared" si="12"/>
        <v>1461.9943685333035</v>
      </c>
      <c r="O46" s="38">
        <f t="shared" si="12"/>
        <v>1461.9943685333035</v>
      </c>
      <c r="P46" s="38">
        <f t="shared" si="12"/>
        <v>1461.9943685333035</v>
      </c>
      <c r="Q46" s="38">
        <f t="shared" si="12"/>
        <v>1461.9943685333035</v>
      </c>
      <c r="R46" s="38">
        <f t="shared" si="13"/>
        <v>3654.9859213332588</v>
      </c>
      <c r="S46" s="38">
        <f t="shared" si="13"/>
        <v>3654.9859213332588</v>
      </c>
    </row>
    <row r="47" spans="1:19" s="9" customFormat="1">
      <c r="A47" s="31"/>
      <c r="B47" s="125"/>
      <c r="C47" s="125" t="str">
        <f>+IFERROR(VLOOKUP($B47, 'Services to Beneficiaries'!$B$7:$C$17, 2, 0), " ")</f>
        <v xml:space="preserve"> </v>
      </c>
      <c r="D47" s="32" t="s">
        <v>363</v>
      </c>
      <c r="E47" s="33" t="s">
        <v>364</v>
      </c>
      <c r="F47" s="34">
        <v>1</v>
      </c>
      <c r="G47" s="34" t="s">
        <v>95</v>
      </c>
      <c r="H47" s="34">
        <v>24</v>
      </c>
      <c r="I47" s="34" t="s">
        <v>351</v>
      </c>
      <c r="J47" s="35">
        <v>0.05</v>
      </c>
      <c r="K47" s="36">
        <v>4791.5244444376685</v>
      </c>
      <c r="L47" s="37">
        <f t="shared" si="11"/>
        <v>5749.8293333252032</v>
      </c>
      <c r="M47" s="38">
        <f t="shared" si="12"/>
        <v>1149.9658666650407</v>
      </c>
      <c r="N47" s="38">
        <f t="shared" si="12"/>
        <v>1149.9658666650407</v>
      </c>
      <c r="O47" s="38">
        <f t="shared" si="12"/>
        <v>1149.9658666650407</v>
      </c>
      <c r="P47" s="38">
        <f t="shared" si="12"/>
        <v>1149.9658666650407</v>
      </c>
      <c r="Q47" s="38">
        <f t="shared" si="12"/>
        <v>1149.9658666650407</v>
      </c>
      <c r="R47" s="38">
        <f t="shared" si="13"/>
        <v>2874.9146666626016</v>
      </c>
      <c r="S47" s="38">
        <f t="shared" si="13"/>
        <v>2874.9146666626016</v>
      </c>
    </row>
    <row r="48" spans="1:19" s="9" customFormat="1">
      <c r="A48" s="31"/>
      <c r="B48" s="125"/>
      <c r="C48" s="125" t="str">
        <f>+IFERROR(VLOOKUP($B48, 'Services to Beneficiaries'!$B$7:$C$17, 2, 0), " ")</f>
        <v xml:space="preserve"> </v>
      </c>
      <c r="D48" s="32" t="s">
        <v>365</v>
      </c>
      <c r="E48" s="33" t="s">
        <v>366</v>
      </c>
      <c r="F48" s="34">
        <v>1</v>
      </c>
      <c r="G48" s="34" t="s">
        <v>95</v>
      </c>
      <c r="H48" s="34">
        <v>24</v>
      </c>
      <c r="I48" s="34" t="s">
        <v>351</v>
      </c>
      <c r="J48" s="35">
        <v>0.2</v>
      </c>
      <c r="K48" s="36">
        <v>3504.8440675227189</v>
      </c>
      <c r="L48" s="37">
        <f t="shared" si="11"/>
        <v>16823.251524109051</v>
      </c>
      <c r="M48" s="38">
        <f t="shared" si="12"/>
        <v>3364.6503048218101</v>
      </c>
      <c r="N48" s="38">
        <f t="shared" si="12"/>
        <v>3364.6503048218101</v>
      </c>
      <c r="O48" s="38">
        <f t="shared" si="12"/>
        <v>3364.6503048218101</v>
      </c>
      <c r="P48" s="38">
        <f t="shared" si="12"/>
        <v>3364.6503048218101</v>
      </c>
      <c r="Q48" s="38">
        <f t="shared" si="12"/>
        <v>3364.6503048218101</v>
      </c>
      <c r="R48" s="38">
        <f t="shared" si="13"/>
        <v>8411.6257620545257</v>
      </c>
      <c r="S48" s="38">
        <f t="shared" si="13"/>
        <v>8411.6257620545257</v>
      </c>
    </row>
    <row r="49" spans="1:19" s="9" customFormat="1">
      <c r="A49" s="31"/>
      <c r="B49" s="125"/>
      <c r="C49" s="125" t="str">
        <f>+IFERROR(VLOOKUP($B49, 'Services to Beneficiaries'!$B$7:$C$17, 2, 0), " ")</f>
        <v xml:space="preserve"> </v>
      </c>
      <c r="D49" s="32" t="s">
        <v>367</v>
      </c>
      <c r="E49" s="33" t="s">
        <v>368</v>
      </c>
      <c r="F49" s="34">
        <v>1</v>
      </c>
      <c r="G49" s="34" t="s">
        <v>95</v>
      </c>
      <c r="H49" s="34">
        <v>24</v>
      </c>
      <c r="I49" s="34" t="s">
        <v>351</v>
      </c>
      <c r="J49" s="35">
        <v>0.2</v>
      </c>
      <c r="K49" s="36">
        <v>2359.0082886530672</v>
      </c>
      <c r="L49" s="37">
        <f t="shared" si="11"/>
        <v>11323.239785534724</v>
      </c>
      <c r="M49" s="38">
        <f t="shared" si="12"/>
        <v>2264.6479571069449</v>
      </c>
      <c r="N49" s="38">
        <f t="shared" si="12"/>
        <v>2264.6479571069449</v>
      </c>
      <c r="O49" s="38">
        <f t="shared" si="12"/>
        <v>2264.6479571069449</v>
      </c>
      <c r="P49" s="38">
        <f t="shared" si="12"/>
        <v>2264.6479571069449</v>
      </c>
      <c r="Q49" s="38">
        <f t="shared" si="12"/>
        <v>2264.6479571069449</v>
      </c>
      <c r="R49" s="38">
        <f t="shared" si="13"/>
        <v>5661.6198927673622</v>
      </c>
      <c r="S49" s="38">
        <f t="shared" si="13"/>
        <v>5661.6198927673622</v>
      </c>
    </row>
    <row r="50" spans="1:19" s="39" customFormat="1">
      <c r="B50" s="40"/>
      <c r="C50" s="40"/>
      <c r="D50" s="40" t="s">
        <v>103</v>
      </c>
      <c r="E50" s="41" t="s">
        <v>104</v>
      </c>
      <c r="F50" s="40"/>
      <c r="G50" s="40"/>
      <c r="H50" s="40"/>
      <c r="I50" s="40"/>
      <c r="J50" s="42"/>
      <c r="K50" s="40"/>
      <c r="L50" s="43">
        <f t="shared" ref="L50:S50" si="14">SUM(L51:L64)</f>
        <v>73836.883576210021</v>
      </c>
      <c r="M50" s="44">
        <f t="shared" si="14"/>
        <v>14767.376715242008</v>
      </c>
      <c r="N50" s="44">
        <f t="shared" si="14"/>
        <v>14767.376715242008</v>
      </c>
      <c r="O50" s="44">
        <f t="shared" si="14"/>
        <v>14767.376715242008</v>
      </c>
      <c r="P50" s="44">
        <f t="shared" si="14"/>
        <v>14767.376715242008</v>
      </c>
      <c r="Q50" s="44">
        <f t="shared" si="14"/>
        <v>14767.376715242008</v>
      </c>
      <c r="R50" s="44">
        <f t="shared" si="14"/>
        <v>36918.44178810501</v>
      </c>
      <c r="S50" s="44">
        <f t="shared" si="14"/>
        <v>36918.44178810501</v>
      </c>
    </row>
    <row r="51" spans="1:19" s="9" customFormat="1">
      <c r="A51" s="31"/>
      <c r="B51" s="125"/>
      <c r="C51" s="125" t="str">
        <f>+IFERROR(VLOOKUP($B51, 'Services to Beneficiaries'!$B$7:$C$17, 2, 0), " ")</f>
        <v xml:space="preserve"> </v>
      </c>
      <c r="D51" s="32" t="s">
        <v>105</v>
      </c>
      <c r="E51" s="33" t="s">
        <v>369</v>
      </c>
      <c r="F51" s="34">
        <v>1</v>
      </c>
      <c r="G51" s="34" t="s">
        <v>95</v>
      </c>
      <c r="H51" s="34">
        <v>24</v>
      </c>
      <c r="I51" s="34" t="s">
        <v>351</v>
      </c>
      <c r="J51" s="35">
        <v>0.2</v>
      </c>
      <c r="K51" s="36">
        <v>1459.8045298700981</v>
      </c>
      <c r="L51" s="37">
        <f t="shared" ref="L51:L64" si="15">+H51*J51*K51*F51</f>
        <v>7007.0617433764719</v>
      </c>
      <c r="M51" s="38">
        <f t="shared" ref="M51:Q64" si="16">$L51/5</f>
        <v>1401.4123486752944</v>
      </c>
      <c r="N51" s="38">
        <f t="shared" si="16"/>
        <v>1401.4123486752944</v>
      </c>
      <c r="O51" s="38">
        <f t="shared" si="16"/>
        <v>1401.4123486752944</v>
      </c>
      <c r="P51" s="38">
        <f t="shared" si="16"/>
        <v>1401.4123486752944</v>
      </c>
      <c r="Q51" s="38">
        <f t="shared" si="16"/>
        <v>1401.4123486752944</v>
      </c>
      <c r="R51" s="38">
        <f t="shared" ref="R51:S64" si="17">$L51/2</f>
        <v>3503.5308716882359</v>
      </c>
      <c r="S51" s="38">
        <f t="shared" si="17"/>
        <v>3503.5308716882359</v>
      </c>
    </row>
    <row r="52" spans="1:19" s="9" customFormat="1">
      <c r="A52" s="31"/>
      <c r="B52" s="125"/>
      <c r="C52" s="125" t="str">
        <f>+IFERROR(VLOOKUP($B52, 'Services to Beneficiaries'!$B$7:$C$17, 2, 0), " ")</f>
        <v xml:space="preserve"> </v>
      </c>
      <c r="D52" s="32" t="s">
        <v>107</v>
      </c>
      <c r="E52" s="33" t="s">
        <v>370</v>
      </c>
      <c r="F52" s="34">
        <v>1</v>
      </c>
      <c r="G52" s="34" t="s">
        <v>95</v>
      </c>
      <c r="H52" s="34">
        <v>24</v>
      </c>
      <c r="I52" s="34" t="s">
        <v>351</v>
      </c>
      <c r="J52" s="35">
        <v>0.05</v>
      </c>
      <c r="K52" s="36">
        <v>5718.3504406538841</v>
      </c>
      <c r="L52" s="37">
        <f t="shared" si="15"/>
        <v>6862.020528784662</v>
      </c>
      <c r="M52" s="38">
        <f t="shared" si="16"/>
        <v>1372.4041057569325</v>
      </c>
      <c r="N52" s="38">
        <f t="shared" si="16"/>
        <v>1372.4041057569325</v>
      </c>
      <c r="O52" s="38">
        <f t="shared" si="16"/>
        <v>1372.4041057569325</v>
      </c>
      <c r="P52" s="38">
        <f t="shared" si="16"/>
        <v>1372.4041057569325</v>
      </c>
      <c r="Q52" s="38">
        <f t="shared" si="16"/>
        <v>1372.4041057569325</v>
      </c>
      <c r="R52" s="38">
        <f t="shared" si="17"/>
        <v>3431.010264392331</v>
      </c>
      <c r="S52" s="38">
        <f t="shared" si="17"/>
        <v>3431.010264392331</v>
      </c>
    </row>
    <row r="53" spans="1:19" s="9" customFormat="1">
      <c r="A53" s="31"/>
      <c r="B53" s="125"/>
      <c r="C53" s="125" t="str">
        <f>+IFERROR(VLOOKUP($B53, 'Services to Beneficiaries'!$B$7:$C$17, 2, 0), " ")</f>
        <v xml:space="preserve"> </v>
      </c>
      <c r="D53" s="32" t="s">
        <v>109</v>
      </c>
      <c r="E53" s="33" t="s">
        <v>128</v>
      </c>
      <c r="F53" s="34">
        <v>1</v>
      </c>
      <c r="G53" s="34" t="s">
        <v>95</v>
      </c>
      <c r="H53" s="34">
        <v>24</v>
      </c>
      <c r="I53" s="34" t="s">
        <v>351</v>
      </c>
      <c r="J53" s="35">
        <v>0.05</v>
      </c>
      <c r="K53" s="36">
        <v>6897.9369074497263</v>
      </c>
      <c r="L53" s="37">
        <f t="shared" si="15"/>
        <v>8277.5242889396723</v>
      </c>
      <c r="M53" s="38">
        <f t="shared" si="16"/>
        <v>1655.5048577879345</v>
      </c>
      <c r="N53" s="38">
        <f t="shared" si="16"/>
        <v>1655.5048577879345</v>
      </c>
      <c r="O53" s="38">
        <f t="shared" si="16"/>
        <v>1655.5048577879345</v>
      </c>
      <c r="P53" s="38">
        <f t="shared" si="16"/>
        <v>1655.5048577879345</v>
      </c>
      <c r="Q53" s="38">
        <f t="shared" si="16"/>
        <v>1655.5048577879345</v>
      </c>
      <c r="R53" s="38">
        <f t="shared" si="17"/>
        <v>4138.7621444698361</v>
      </c>
      <c r="S53" s="38">
        <f t="shared" si="17"/>
        <v>4138.7621444698361</v>
      </c>
    </row>
    <row r="54" spans="1:19" s="9" customFormat="1">
      <c r="A54" s="31"/>
      <c r="B54" s="125"/>
      <c r="C54" s="125" t="str">
        <f>+IFERROR(VLOOKUP($B54, 'Services to Beneficiaries'!$B$7:$C$17, 2, 0), " ")</f>
        <v xml:space="preserve"> </v>
      </c>
      <c r="D54" s="32" t="s">
        <v>111</v>
      </c>
      <c r="E54" s="33" t="s">
        <v>371</v>
      </c>
      <c r="F54" s="34">
        <v>1</v>
      </c>
      <c r="G54" s="34" t="s">
        <v>95</v>
      </c>
      <c r="H54" s="34">
        <v>24</v>
      </c>
      <c r="I54" s="34" t="s">
        <v>351</v>
      </c>
      <c r="J54" s="35">
        <v>0.05</v>
      </c>
      <c r="K54" s="36">
        <v>4791.5244444376685</v>
      </c>
      <c r="L54" s="37">
        <f t="shared" si="15"/>
        <v>5749.8293333252032</v>
      </c>
      <c r="M54" s="38">
        <f t="shared" si="16"/>
        <v>1149.9658666650407</v>
      </c>
      <c r="N54" s="38">
        <f t="shared" si="16"/>
        <v>1149.9658666650407</v>
      </c>
      <c r="O54" s="38">
        <f t="shared" si="16"/>
        <v>1149.9658666650407</v>
      </c>
      <c r="P54" s="38">
        <f t="shared" si="16"/>
        <v>1149.9658666650407</v>
      </c>
      <c r="Q54" s="38">
        <f t="shared" si="16"/>
        <v>1149.9658666650407</v>
      </c>
      <c r="R54" s="38">
        <f t="shared" si="17"/>
        <v>2874.9146666626016</v>
      </c>
      <c r="S54" s="38">
        <f t="shared" si="17"/>
        <v>2874.9146666626016</v>
      </c>
    </row>
    <row r="55" spans="1:19" s="9" customFormat="1">
      <c r="A55" s="31"/>
      <c r="B55" s="125"/>
      <c r="C55" s="125" t="str">
        <f>+IFERROR(VLOOKUP($B55, 'Services to Beneficiaries'!$B$7:$C$17, 2, 0), " ")</f>
        <v xml:space="preserve"> </v>
      </c>
      <c r="D55" s="32" t="s">
        <v>113</v>
      </c>
      <c r="E55" s="33" t="s">
        <v>372</v>
      </c>
      <c r="F55" s="34">
        <v>1</v>
      </c>
      <c r="G55" s="34" t="s">
        <v>95</v>
      </c>
      <c r="H55" s="34">
        <v>24</v>
      </c>
      <c r="I55" s="34" t="s">
        <v>351</v>
      </c>
      <c r="J55" s="35">
        <v>0.05</v>
      </c>
      <c r="K55" s="36">
        <v>3088.4387238797667</v>
      </c>
      <c r="L55" s="37">
        <f t="shared" si="15"/>
        <v>3706.1264686557206</v>
      </c>
      <c r="M55" s="38">
        <f t="shared" si="16"/>
        <v>741.22529373114412</v>
      </c>
      <c r="N55" s="38">
        <f t="shared" si="16"/>
        <v>741.22529373114412</v>
      </c>
      <c r="O55" s="38">
        <f t="shared" si="16"/>
        <v>741.22529373114412</v>
      </c>
      <c r="P55" s="38">
        <f t="shared" si="16"/>
        <v>741.22529373114412</v>
      </c>
      <c r="Q55" s="38">
        <f t="shared" si="16"/>
        <v>741.22529373114412</v>
      </c>
      <c r="R55" s="38">
        <f t="shared" si="17"/>
        <v>1853.0632343278603</v>
      </c>
      <c r="S55" s="38">
        <f t="shared" si="17"/>
        <v>1853.0632343278603</v>
      </c>
    </row>
    <row r="56" spans="1:19" s="9" customFormat="1">
      <c r="A56" s="31"/>
      <c r="B56" s="125"/>
      <c r="C56" s="125" t="str">
        <f>+IFERROR(VLOOKUP($B56, 'Services to Beneficiaries'!$B$7:$C$17, 2, 0), " ")</f>
        <v xml:space="preserve"> </v>
      </c>
      <c r="D56" s="32" t="s">
        <v>115</v>
      </c>
      <c r="E56" s="33" t="s">
        <v>373</v>
      </c>
      <c r="F56" s="34">
        <v>1</v>
      </c>
      <c r="G56" s="34" t="s">
        <v>95</v>
      </c>
      <c r="H56" s="34">
        <v>24</v>
      </c>
      <c r="I56" s="34" t="s">
        <v>351</v>
      </c>
      <c r="J56" s="35">
        <v>0.05</v>
      </c>
      <c r="K56" s="36">
        <v>2400.4317356168162</v>
      </c>
      <c r="L56" s="37">
        <f t="shared" si="15"/>
        <v>2880.51808274018</v>
      </c>
      <c r="M56" s="38">
        <f t="shared" si="16"/>
        <v>576.10361654803603</v>
      </c>
      <c r="N56" s="38">
        <f t="shared" si="16"/>
        <v>576.10361654803603</v>
      </c>
      <c r="O56" s="38">
        <f t="shared" si="16"/>
        <v>576.10361654803603</v>
      </c>
      <c r="P56" s="38">
        <f t="shared" si="16"/>
        <v>576.10361654803603</v>
      </c>
      <c r="Q56" s="38">
        <f t="shared" si="16"/>
        <v>576.10361654803603</v>
      </c>
      <c r="R56" s="38">
        <f t="shared" si="17"/>
        <v>1440.25904137009</v>
      </c>
      <c r="S56" s="38">
        <f t="shared" si="17"/>
        <v>1440.25904137009</v>
      </c>
    </row>
    <row r="57" spans="1:19" s="9" customFormat="1">
      <c r="A57" s="31"/>
      <c r="B57" s="125"/>
      <c r="C57" s="125" t="str">
        <f>+IFERROR(VLOOKUP($B57, 'Services to Beneficiaries'!$B$7:$C$17, 2, 0), " ")</f>
        <v xml:space="preserve"> </v>
      </c>
      <c r="D57" s="32" t="s">
        <v>117</v>
      </c>
      <c r="E57" s="33" t="s">
        <v>374</v>
      </c>
      <c r="F57" s="34">
        <v>1</v>
      </c>
      <c r="G57" s="34" t="s">
        <v>95</v>
      </c>
      <c r="H57" s="34">
        <v>24</v>
      </c>
      <c r="I57" s="34" t="s">
        <v>351</v>
      </c>
      <c r="J57" s="35">
        <v>0.05</v>
      </c>
      <c r="K57" s="36">
        <v>3408.0724803607554</v>
      </c>
      <c r="L57" s="37">
        <f t="shared" si="15"/>
        <v>4089.6869764329072</v>
      </c>
      <c r="M57" s="38">
        <f t="shared" si="16"/>
        <v>817.93739528658148</v>
      </c>
      <c r="N57" s="38">
        <f t="shared" si="16"/>
        <v>817.93739528658148</v>
      </c>
      <c r="O57" s="38">
        <f t="shared" si="16"/>
        <v>817.93739528658148</v>
      </c>
      <c r="P57" s="38">
        <f t="shared" si="16"/>
        <v>817.93739528658148</v>
      </c>
      <c r="Q57" s="38">
        <f t="shared" si="16"/>
        <v>817.93739528658148</v>
      </c>
      <c r="R57" s="38">
        <f t="shared" si="17"/>
        <v>2044.8434882164536</v>
      </c>
      <c r="S57" s="38">
        <f t="shared" si="17"/>
        <v>2044.8434882164536</v>
      </c>
    </row>
    <row r="58" spans="1:19" s="9" customFormat="1">
      <c r="A58" s="31"/>
      <c r="B58" s="125"/>
      <c r="C58" s="125" t="str">
        <f>+IFERROR(VLOOKUP($B58, 'Services to Beneficiaries'!$B$7:$C$17, 2, 0), " ")</f>
        <v xml:space="preserve"> </v>
      </c>
      <c r="D58" s="32" t="s">
        <v>119</v>
      </c>
      <c r="E58" s="33" t="s">
        <v>375</v>
      </c>
      <c r="F58" s="34">
        <v>1</v>
      </c>
      <c r="G58" s="34" t="s">
        <v>95</v>
      </c>
      <c r="H58" s="34">
        <v>24</v>
      </c>
      <c r="I58" s="34" t="s">
        <v>351</v>
      </c>
      <c r="J58" s="35">
        <v>0.05</v>
      </c>
      <c r="K58" s="36">
        <v>3386.7646812214825</v>
      </c>
      <c r="L58" s="37">
        <f t="shared" si="15"/>
        <v>4064.1176174657799</v>
      </c>
      <c r="M58" s="38">
        <f t="shared" si="16"/>
        <v>812.82352349315602</v>
      </c>
      <c r="N58" s="38">
        <f t="shared" si="16"/>
        <v>812.82352349315602</v>
      </c>
      <c r="O58" s="38">
        <f t="shared" si="16"/>
        <v>812.82352349315602</v>
      </c>
      <c r="P58" s="38">
        <f t="shared" si="16"/>
        <v>812.82352349315602</v>
      </c>
      <c r="Q58" s="38">
        <f t="shared" si="16"/>
        <v>812.82352349315602</v>
      </c>
      <c r="R58" s="38">
        <f t="shared" si="17"/>
        <v>2032.0588087328899</v>
      </c>
      <c r="S58" s="38">
        <f t="shared" si="17"/>
        <v>2032.0588087328899</v>
      </c>
    </row>
    <row r="59" spans="1:19" s="9" customFormat="1">
      <c r="A59" s="31"/>
      <c r="B59" s="125"/>
      <c r="C59" s="125" t="str">
        <f>+IFERROR(VLOOKUP($B59, 'Services to Beneficiaries'!$B$7:$C$17, 2, 0), " ")</f>
        <v xml:space="preserve"> </v>
      </c>
      <c r="D59" s="32" t="s">
        <v>121</v>
      </c>
      <c r="E59" s="33" t="s">
        <v>376</v>
      </c>
      <c r="F59" s="34">
        <v>1</v>
      </c>
      <c r="G59" s="34" t="s">
        <v>95</v>
      </c>
      <c r="H59" s="34">
        <v>24</v>
      </c>
      <c r="I59" s="34" t="s">
        <v>351</v>
      </c>
      <c r="J59" s="35">
        <v>0.05</v>
      </c>
      <c r="K59" s="36">
        <v>5199.3286145280863</v>
      </c>
      <c r="L59" s="37">
        <f t="shared" si="15"/>
        <v>6239.1943374337043</v>
      </c>
      <c r="M59" s="38">
        <f t="shared" si="16"/>
        <v>1247.8388674867408</v>
      </c>
      <c r="N59" s="38">
        <f t="shared" si="16"/>
        <v>1247.8388674867408</v>
      </c>
      <c r="O59" s="38">
        <f t="shared" si="16"/>
        <v>1247.8388674867408</v>
      </c>
      <c r="P59" s="38">
        <f t="shared" si="16"/>
        <v>1247.8388674867408</v>
      </c>
      <c r="Q59" s="38">
        <f t="shared" si="16"/>
        <v>1247.8388674867408</v>
      </c>
      <c r="R59" s="38">
        <f t="shared" si="17"/>
        <v>3119.5971687168521</v>
      </c>
      <c r="S59" s="38">
        <f t="shared" si="17"/>
        <v>3119.5971687168521</v>
      </c>
    </row>
    <row r="60" spans="1:19" s="9" customFormat="1">
      <c r="A60" s="31"/>
      <c r="B60" s="125"/>
      <c r="C60" s="125" t="str">
        <f>+IFERROR(VLOOKUP($B60, 'Services to Beneficiaries'!$B$7:$C$17, 2, 0), " ")</f>
        <v xml:space="preserve"> </v>
      </c>
      <c r="D60" s="32" t="s">
        <v>123</v>
      </c>
      <c r="E60" s="33" t="s">
        <v>377</v>
      </c>
      <c r="F60" s="34">
        <v>1</v>
      </c>
      <c r="G60" s="34" t="s">
        <v>95</v>
      </c>
      <c r="H60" s="34">
        <v>24</v>
      </c>
      <c r="I60" s="34" t="s">
        <v>351</v>
      </c>
      <c r="J60" s="35">
        <v>7.0000000000000007E-2</v>
      </c>
      <c r="K60" s="36">
        <v>2939.2765074539948</v>
      </c>
      <c r="L60" s="37">
        <f t="shared" si="15"/>
        <v>4937.9845325227116</v>
      </c>
      <c r="M60" s="38">
        <f t="shared" si="16"/>
        <v>987.59690650454229</v>
      </c>
      <c r="N60" s="38">
        <f t="shared" si="16"/>
        <v>987.59690650454229</v>
      </c>
      <c r="O60" s="38">
        <f t="shared" si="16"/>
        <v>987.59690650454229</v>
      </c>
      <c r="P60" s="38">
        <f t="shared" si="16"/>
        <v>987.59690650454229</v>
      </c>
      <c r="Q60" s="38">
        <f t="shared" si="16"/>
        <v>987.59690650454229</v>
      </c>
      <c r="R60" s="38">
        <f t="shared" si="17"/>
        <v>2468.9922662613558</v>
      </c>
      <c r="S60" s="38">
        <f t="shared" si="17"/>
        <v>2468.9922662613558</v>
      </c>
    </row>
    <row r="61" spans="1:19" s="9" customFormat="1">
      <c r="A61" s="31"/>
      <c r="B61" s="125"/>
      <c r="C61" s="125" t="str">
        <f>+IFERROR(VLOOKUP($B61, 'Services to Beneficiaries'!$B$7:$C$17, 2, 0), " ")</f>
        <v xml:space="preserve"> </v>
      </c>
      <c r="D61" s="32" t="s">
        <v>125</v>
      </c>
      <c r="E61" s="33" t="s">
        <v>378</v>
      </c>
      <c r="F61" s="34">
        <v>1</v>
      </c>
      <c r="G61" s="34" t="s">
        <v>95</v>
      </c>
      <c r="H61" s="34">
        <v>24</v>
      </c>
      <c r="I61" s="34" t="s">
        <v>351</v>
      </c>
      <c r="J61" s="35">
        <v>7.0000000000000007E-2</v>
      </c>
      <c r="K61" s="36">
        <v>2317.7205213146594</v>
      </c>
      <c r="L61" s="37">
        <f t="shared" si="15"/>
        <v>3893.7704758086284</v>
      </c>
      <c r="M61" s="38">
        <f t="shared" si="16"/>
        <v>778.75409516172567</v>
      </c>
      <c r="N61" s="38">
        <f t="shared" si="16"/>
        <v>778.75409516172567</v>
      </c>
      <c r="O61" s="38">
        <f t="shared" si="16"/>
        <v>778.75409516172567</v>
      </c>
      <c r="P61" s="38">
        <f t="shared" si="16"/>
        <v>778.75409516172567</v>
      </c>
      <c r="Q61" s="38">
        <f t="shared" si="16"/>
        <v>778.75409516172567</v>
      </c>
      <c r="R61" s="38">
        <f t="shared" si="17"/>
        <v>1946.8852379043142</v>
      </c>
      <c r="S61" s="38">
        <f t="shared" si="17"/>
        <v>1946.8852379043142</v>
      </c>
    </row>
    <row r="62" spans="1:19" s="9" customFormat="1">
      <c r="A62" s="31"/>
      <c r="B62" s="125"/>
      <c r="C62" s="125" t="str">
        <f>+IFERROR(VLOOKUP($B62, 'Services to Beneficiaries'!$B$7:$C$17, 2, 0), " ")</f>
        <v xml:space="preserve"> </v>
      </c>
      <c r="D62" s="32" t="s">
        <v>127</v>
      </c>
      <c r="E62" s="33" t="s">
        <v>379</v>
      </c>
      <c r="F62" s="34">
        <v>1</v>
      </c>
      <c r="G62" s="34" t="s">
        <v>95</v>
      </c>
      <c r="H62" s="34">
        <v>24</v>
      </c>
      <c r="I62" s="34" t="s">
        <v>351</v>
      </c>
      <c r="J62" s="35">
        <v>7.0000000000000007E-2</v>
      </c>
      <c r="K62" s="36">
        <v>2433.5162213376793</v>
      </c>
      <c r="L62" s="37">
        <f t="shared" si="15"/>
        <v>4088.3072518473018</v>
      </c>
      <c r="M62" s="38">
        <f t="shared" si="16"/>
        <v>817.66145036946034</v>
      </c>
      <c r="N62" s="38">
        <f t="shared" si="16"/>
        <v>817.66145036946034</v>
      </c>
      <c r="O62" s="38">
        <f t="shared" si="16"/>
        <v>817.66145036946034</v>
      </c>
      <c r="P62" s="38">
        <f t="shared" si="16"/>
        <v>817.66145036946034</v>
      </c>
      <c r="Q62" s="38">
        <f t="shared" si="16"/>
        <v>817.66145036946034</v>
      </c>
      <c r="R62" s="38">
        <f t="shared" si="17"/>
        <v>2044.1536259236509</v>
      </c>
      <c r="S62" s="38">
        <f t="shared" si="17"/>
        <v>2044.1536259236509</v>
      </c>
    </row>
    <row r="63" spans="1:19" s="9" customFormat="1">
      <c r="A63" s="31"/>
      <c r="B63" s="125"/>
      <c r="C63" s="125" t="str">
        <f>+IFERROR(VLOOKUP($B63, 'Services to Beneficiaries'!$B$7:$C$17, 2, 0), " ")</f>
        <v xml:space="preserve"> </v>
      </c>
      <c r="D63" s="32" t="s">
        <v>129</v>
      </c>
      <c r="E63" s="33" t="s">
        <v>380</v>
      </c>
      <c r="F63" s="34">
        <v>1</v>
      </c>
      <c r="G63" s="34" t="s">
        <v>95</v>
      </c>
      <c r="H63" s="34">
        <v>24</v>
      </c>
      <c r="I63" s="34" t="s">
        <v>351</v>
      </c>
      <c r="J63" s="35">
        <v>0.06</v>
      </c>
      <c r="K63" s="36">
        <v>5013.9628054887744</v>
      </c>
      <c r="L63" s="37">
        <f t="shared" si="15"/>
        <v>7220.1064399038351</v>
      </c>
      <c r="M63" s="38">
        <f t="shared" si="16"/>
        <v>1444.0212879807671</v>
      </c>
      <c r="N63" s="38">
        <f t="shared" si="16"/>
        <v>1444.0212879807671</v>
      </c>
      <c r="O63" s="38">
        <f t="shared" si="16"/>
        <v>1444.0212879807671</v>
      </c>
      <c r="P63" s="38">
        <f t="shared" si="16"/>
        <v>1444.0212879807671</v>
      </c>
      <c r="Q63" s="38">
        <f t="shared" si="16"/>
        <v>1444.0212879807671</v>
      </c>
      <c r="R63" s="38">
        <f t="shared" si="17"/>
        <v>3610.0532199519175</v>
      </c>
      <c r="S63" s="38">
        <f t="shared" si="17"/>
        <v>3610.0532199519175</v>
      </c>
    </row>
    <row r="64" spans="1:19" s="9" customFormat="1">
      <c r="A64" s="31"/>
      <c r="B64" s="125"/>
      <c r="C64" s="125" t="str">
        <f>+IFERROR(VLOOKUP($B64, 'Services to Beneficiaries'!$B$7:$C$17, 2, 0), " ")</f>
        <v xml:space="preserve"> </v>
      </c>
      <c r="D64" s="32" t="s">
        <v>381</v>
      </c>
      <c r="E64" s="33" t="s">
        <v>382</v>
      </c>
      <c r="F64" s="34">
        <v>1</v>
      </c>
      <c r="G64" s="34" t="s">
        <v>95</v>
      </c>
      <c r="H64" s="34">
        <v>24</v>
      </c>
      <c r="I64" s="34" t="s">
        <v>351</v>
      </c>
      <c r="J64" s="35">
        <v>7.0000000000000007E-2</v>
      </c>
      <c r="K64" s="36">
        <v>2869.4258922459858</v>
      </c>
      <c r="L64" s="37">
        <f t="shared" si="15"/>
        <v>4820.6354989732563</v>
      </c>
      <c r="M64" s="38">
        <f t="shared" si="16"/>
        <v>964.12709979465126</v>
      </c>
      <c r="N64" s="38">
        <f t="shared" si="16"/>
        <v>964.12709979465126</v>
      </c>
      <c r="O64" s="38">
        <f t="shared" si="16"/>
        <v>964.12709979465126</v>
      </c>
      <c r="P64" s="38">
        <f t="shared" si="16"/>
        <v>964.12709979465126</v>
      </c>
      <c r="Q64" s="38">
        <f t="shared" si="16"/>
        <v>964.12709979465126</v>
      </c>
      <c r="R64" s="38">
        <f t="shared" si="17"/>
        <v>2410.3177494866281</v>
      </c>
      <c r="S64" s="38">
        <f t="shared" si="17"/>
        <v>2410.3177494866281</v>
      </c>
    </row>
    <row r="65" spans="1:19" s="10" customFormat="1">
      <c r="A65" s="9"/>
      <c r="B65" s="24"/>
      <c r="C65" s="24"/>
      <c r="D65" s="24" t="s">
        <v>131</v>
      </c>
      <c r="E65" s="26" t="s">
        <v>132</v>
      </c>
      <c r="F65" s="25"/>
      <c r="G65" s="25"/>
      <c r="H65" s="25"/>
      <c r="I65" s="25"/>
      <c r="J65" s="27"/>
      <c r="K65" s="28"/>
      <c r="L65" s="29">
        <f t="shared" ref="L65:S65" si="18" xml:space="preserve"> SUM(L66, L68)</f>
        <v>40736.582214992755</v>
      </c>
      <c r="M65" s="30">
        <f t="shared" si="18"/>
        <v>8147.3164429985518</v>
      </c>
      <c r="N65" s="30">
        <f t="shared" si="18"/>
        <v>8147.3164429985518</v>
      </c>
      <c r="O65" s="30">
        <f t="shared" si="18"/>
        <v>8147.3164429985518</v>
      </c>
      <c r="P65" s="30">
        <f t="shared" si="18"/>
        <v>8147.3164429985518</v>
      </c>
      <c r="Q65" s="30">
        <f t="shared" si="18"/>
        <v>8147.3164429985518</v>
      </c>
      <c r="R65" s="30">
        <f t="shared" si="18"/>
        <v>20368.291107496378</v>
      </c>
      <c r="S65" s="30">
        <f t="shared" si="18"/>
        <v>20368.291107496378</v>
      </c>
    </row>
    <row r="66" spans="1:19" s="39" customFormat="1">
      <c r="B66" s="40"/>
      <c r="C66" s="40"/>
      <c r="D66" s="40" t="s">
        <v>133</v>
      </c>
      <c r="E66" s="41" t="s">
        <v>134</v>
      </c>
      <c r="F66" s="40"/>
      <c r="G66" s="40"/>
      <c r="H66" s="40"/>
      <c r="I66" s="40"/>
      <c r="J66" s="42"/>
      <c r="K66" s="40"/>
      <c r="L66" s="43">
        <f t="shared" ref="L66:S66" si="19">SUM(L67:L67)</f>
        <v>22379.404991485724</v>
      </c>
      <c r="M66" s="44">
        <f t="shared" si="19"/>
        <v>4475.8809982971452</v>
      </c>
      <c r="N66" s="44">
        <f t="shared" si="19"/>
        <v>4475.8809982971452</v>
      </c>
      <c r="O66" s="44">
        <f t="shared" si="19"/>
        <v>4475.8809982971452</v>
      </c>
      <c r="P66" s="44">
        <f t="shared" si="19"/>
        <v>4475.8809982971452</v>
      </c>
      <c r="Q66" s="44">
        <f t="shared" si="19"/>
        <v>4475.8809982971452</v>
      </c>
      <c r="R66" s="44">
        <f t="shared" si="19"/>
        <v>11189.702495742862</v>
      </c>
      <c r="S66" s="44">
        <f t="shared" si="19"/>
        <v>11189.702495742862</v>
      </c>
    </row>
    <row r="67" spans="1:19" s="9" customFormat="1">
      <c r="A67" s="31"/>
      <c r="B67" s="125"/>
      <c r="C67" s="125" t="str">
        <f>+IFERROR(VLOOKUP($B67, 'Services to Beneficiaries'!$B$7:$C$17, 2, 0), " ")</f>
        <v xml:space="preserve"> </v>
      </c>
      <c r="D67" s="32" t="s">
        <v>133</v>
      </c>
      <c r="E67" s="33" t="s">
        <v>383</v>
      </c>
      <c r="F67" s="34">
        <v>1</v>
      </c>
      <c r="G67" s="34" t="s">
        <v>95</v>
      </c>
      <c r="H67" s="34">
        <v>24</v>
      </c>
      <c r="I67" s="34" t="s">
        <v>351</v>
      </c>
      <c r="J67" s="35">
        <v>0.12</v>
      </c>
      <c r="K67" s="36">
        <v>7770.6267331547651</v>
      </c>
      <c r="L67" s="37">
        <f>+H67*J67*K67*F67</f>
        <v>22379.404991485724</v>
      </c>
      <c r="M67" s="38">
        <f>$L67/5</f>
        <v>4475.8809982971452</v>
      </c>
      <c r="N67" s="38">
        <f>$L67/5</f>
        <v>4475.8809982971452</v>
      </c>
      <c r="O67" s="38">
        <f>$L67/5</f>
        <v>4475.8809982971452</v>
      </c>
      <c r="P67" s="38">
        <f>$L67/5</f>
        <v>4475.8809982971452</v>
      </c>
      <c r="Q67" s="38">
        <f>$L67/5</f>
        <v>4475.8809982971452</v>
      </c>
      <c r="R67" s="38">
        <f>$L67/2</f>
        <v>11189.702495742862</v>
      </c>
      <c r="S67" s="38">
        <f>$L67/2</f>
        <v>11189.702495742862</v>
      </c>
    </row>
    <row r="68" spans="1:19" s="39" customFormat="1">
      <c r="B68" s="40"/>
      <c r="C68" s="40"/>
      <c r="D68" s="40" t="s">
        <v>137</v>
      </c>
      <c r="E68" s="41" t="s">
        <v>138</v>
      </c>
      <c r="F68" s="40"/>
      <c r="G68" s="40"/>
      <c r="H68" s="40"/>
      <c r="I68" s="40"/>
      <c r="J68" s="42"/>
      <c r="K68" s="40"/>
      <c r="L68" s="43">
        <f t="shared" ref="L68:S68" si="20">SUM(L69:L69)</f>
        <v>18357.177223507031</v>
      </c>
      <c r="M68" s="44">
        <f t="shared" si="20"/>
        <v>3671.4354447014061</v>
      </c>
      <c r="N68" s="44">
        <f t="shared" si="20"/>
        <v>3671.4354447014061</v>
      </c>
      <c r="O68" s="44">
        <f t="shared" si="20"/>
        <v>3671.4354447014061</v>
      </c>
      <c r="P68" s="44">
        <f t="shared" si="20"/>
        <v>3671.4354447014061</v>
      </c>
      <c r="Q68" s="44">
        <f t="shared" si="20"/>
        <v>3671.4354447014061</v>
      </c>
      <c r="R68" s="44">
        <f t="shared" si="20"/>
        <v>9178.5886117535156</v>
      </c>
      <c r="S68" s="44">
        <f t="shared" si="20"/>
        <v>9178.5886117535156</v>
      </c>
    </row>
    <row r="69" spans="1:19" s="9" customFormat="1">
      <c r="A69" s="31"/>
      <c r="B69" s="125"/>
      <c r="C69" s="125" t="str">
        <f>+IFERROR(VLOOKUP($B69, 'Services to Beneficiaries'!$B$7:$C$17, 2, 0), " ")</f>
        <v xml:space="preserve"> </v>
      </c>
      <c r="D69" s="32" t="s">
        <v>139</v>
      </c>
      <c r="E69" s="33" t="s">
        <v>135</v>
      </c>
      <c r="F69" s="34">
        <v>1</v>
      </c>
      <c r="G69" s="34" t="s">
        <v>95</v>
      </c>
      <c r="H69" s="34">
        <v>24</v>
      </c>
      <c r="I69" s="34" t="s">
        <v>351</v>
      </c>
      <c r="J69" s="35">
        <v>0.05</v>
      </c>
      <c r="K69" s="36">
        <v>15297.647686255857</v>
      </c>
      <c r="L69" s="37">
        <f>+H69*J69*K69*F69</f>
        <v>18357.177223507031</v>
      </c>
      <c r="M69" s="38">
        <f>$L69/5</f>
        <v>3671.4354447014061</v>
      </c>
      <c r="N69" s="38">
        <f>$L69/5</f>
        <v>3671.4354447014061</v>
      </c>
      <c r="O69" s="38">
        <f>$L69/5</f>
        <v>3671.4354447014061</v>
      </c>
      <c r="P69" s="38">
        <f>$L69/5</f>
        <v>3671.4354447014061</v>
      </c>
      <c r="Q69" s="38">
        <f>$L69/5</f>
        <v>3671.4354447014061</v>
      </c>
      <c r="R69" s="38">
        <f>$L69/2</f>
        <v>9178.5886117535156</v>
      </c>
      <c r="S69" s="38">
        <f>$L69/2</f>
        <v>9178.5886117535156</v>
      </c>
    </row>
    <row r="70" spans="1:19" s="10" customFormat="1">
      <c r="A70" s="9"/>
      <c r="B70" s="24"/>
      <c r="C70" s="24"/>
      <c r="D70" s="24" t="s">
        <v>140</v>
      </c>
      <c r="E70" s="26" t="s">
        <v>141</v>
      </c>
      <c r="F70" s="25"/>
      <c r="G70" s="25"/>
      <c r="H70" s="25"/>
      <c r="I70" s="25"/>
      <c r="J70" s="27"/>
      <c r="K70" s="28"/>
      <c r="L70" s="29">
        <f t="shared" ref="L70:S70" si="21">SUM(L71, L75)</f>
        <v>54896.503009110136</v>
      </c>
      <c r="M70" s="30">
        <f t="shared" si="21"/>
        <v>10979.300601822026</v>
      </c>
      <c r="N70" s="30">
        <f t="shared" si="21"/>
        <v>10979.300601822026</v>
      </c>
      <c r="O70" s="30">
        <f t="shared" si="21"/>
        <v>10979.300601822026</v>
      </c>
      <c r="P70" s="30">
        <f t="shared" si="21"/>
        <v>10979.300601822026</v>
      </c>
      <c r="Q70" s="30">
        <f t="shared" si="21"/>
        <v>10979.300601822026</v>
      </c>
      <c r="R70" s="30">
        <f t="shared" si="21"/>
        <v>27448.251504555068</v>
      </c>
      <c r="S70" s="30">
        <f t="shared" si="21"/>
        <v>27448.251504555068</v>
      </c>
    </row>
    <row r="71" spans="1:19" s="39" customFormat="1">
      <c r="B71" s="40"/>
      <c r="C71" s="40"/>
      <c r="D71" s="40" t="s">
        <v>142</v>
      </c>
      <c r="E71" s="41" t="s">
        <v>143</v>
      </c>
      <c r="F71" s="40"/>
      <c r="G71" s="40"/>
      <c r="H71" s="40"/>
      <c r="I71" s="40"/>
      <c r="J71" s="42"/>
      <c r="K71" s="40"/>
      <c r="L71" s="43">
        <f t="shared" ref="L71:S71" si="22">SUM(L72:L74)</f>
        <v>29337.40492526233</v>
      </c>
      <c r="M71" s="44">
        <f t="shared" si="22"/>
        <v>5867.4809850524653</v>
      </c>
      <c r="N71" s="44">
        <f t="shared" si="22"/>
        <v>5867.4809850524653</v>
      </c>
      <c r="O71" s="44">
        <f t="shared" si="22"/>
        <v>5867.4809850524653</v>
      </c>
      <c r="P71" s="44">
        <f t="shared" si="22"/>
        <v>5867.4809850524653</v>
      </c>
      <c r="Q71" s="44">
        <f t="shared" si="22"/>
        <v>5867.4809850524653</v>
      </c>
      <c r="R71" s="44">
        <f t="shared" si="22"/>
        <v>14668.702462631165</v>
      </c>
      <c r="S71" s="44">
        <f t="shared" si="22"/>
        <v>14668.702462631165</v>
      </c>
    </row>
    <row r="72" spans="1:19" s="9" customFormat="1">
      <c r="A72" s="31"/>
      <c r="B72" s="125"/>
      <c r="C72" s="125" t="str">
        <f>+IFERROR(VLOOKUP($B72, 'Services to Beneficiaries'!$B$7:$C$17, 2, 0), " ")</f>
        <v xml:space="preserve"> </v>
      </c>
      <c r="D72" s="32" t="s">
        <v>142</v>
      </c>
      <c r="E72" s="33" t="s">
        <v>384</v>
      </c>
      <c r="F72" s="34">
        <v>1</v>
      </c>
      <c r="G72" s="34" t="s">
        <v>95</v>
      </c>
      <c r="H72" s="34">
        <v>22</v>
      </c>
      <c r="I72" s="34" t="s">
        <v>351</v>
      </c>
      <c r="J72" s="35">
        <v>0.16</v>
      </c>
      <c r="K72" s="36">
        <v>5975.833333333333</v>
      </c>
      <c r="L72" s="37">
        <f>+H72*J72*K72*F72</f>
        <v>21034.933333333331</v>
      </c>
      <c r="M72" s="38">
        <f t="shared" ref="M72:Q74" si="23">$L72/5</f>
        <v>4206.9866666666658</v>
      </c>
      <c r="N72" s="38">
        <f t="shared" si="23"/>
        <v>4206.9866666666658</v>
      </c>
      <c r="O72" s="38">
        <f t="shared" si="23"/>
        <v>4206.9866666666658</v>
      </c>
      <c r="P72" s="38">
        <f t="shared" si="23"/>
        <v>4206.9866666666658</v>
      </c>
      <c r="Q72" s="38">
        <f t="shared" si="23"/>
        <v>4206.9866666666658</v>
      </c>
      <c r="R72" s="38">
        <f t="shared" ref="R72:S74" si="24">$L72/2</f>
        <v>10517.466666666665</v>
      </c>
      <c r="S72" s="38">
        <f t="shared" si="24"/>
        <v>10517.466666666665</v>
      </c>
    </row>
    <row r="73" spans="1:19" s="9" customFormat="1">
      <c r="A73" s="31"/>
      <c r="B73" s="125"/>
      <c r="C73" s="125" t="str">
        <f>+IFERROR(VLOOKUP($B73, 'Services to Beneficiaries'!$B$7:$C$17, 2, 0), " ")</f>
        <v xml:space="preserve"> </v>
      </c>
      <c r="D73" s="32" t="s">
        <v>147</v>
      </c>
      <c r="E73" s="33" t="s">
        <v>144</v>
      </c>
      <c r="F73" s="34">
        <v>1</v>
      </c>
      <c r="G73" s="34" t="s">
        <v>95</v>
      </c>
      <c r="H73" s="34">
        <v>15</v>
      </c>
      <c r="I73" s="34" t="s">
        <v>351</v>
      </c>
      <c r="J73" s="35">
        <v>0.06</v>
      </c>
      <c r="K73" s="36">
        <v>5051.8156062999997</v>
      </c>
      <c r="L73" s="37">
        <f>+H73*J73*K73*F73</f>
        <v>4546.6340456699991</v>
      </c>
      <c r="M73" s="38">
        <f t="shared" si="23"/>
        <v>909.32680913399986</v>
      </c>
      <c r="N73" s="38">
        <f t="shared" si="23"/>
        <v>909.32680913399986</v>
      </c>
      <c r="O73" s="38">
        <f t="shared" si="23"/>
        <v>909.32680913399986</v>
      </c>
      <c r="P73" s="38">
        <f t="shared" si="23"/>
        <v>909.32680913399986</v>
      </c>
      <c r="Q73" s="38">
        <f t="shared" si="23"/>
        <v>909.32680913399986</v>
      </c>
      <c r="R73" s="38">
        <f t="shared" si="24"/>
        <v>2273.3170228349995</v>
      </c>
      <c r="S73" s="38">
        <f t="shared" si="24"/>
        <v>2273.3170228349995</v>
      </c>
    </row>
    <row r="74" spans="1:19" s="9" customFormat="1">
      <c r="A74" s="31"/>
      <c r="B74" s="125"/>
      <c r="C74" s="125" t="str">
        <f>+IFERROR(VLOOKUP($B74, 'Services to Beneficiaries'!$B$7:$C$17, 2, 0), " ")</f>
        <v xml:space="preserve"> </v>
      </c>
      <c r="D74" s="32" t="s">
        <v>149</v>
      </c>
      <c r="E74" s="33" t="s">
        <v>148</v>
      </c>
      <c r="F74" s="34">
        <v>1</v>
      </c>
      <c r="G74" s="34" t="s">
        <v>95</v>
      </c>
      <c r="H74" s="34">
        <v>15</v>
      </c>
      <c r="I74" s="34" t="s">
        <v>351</v>
      </c>
      <c r="J74" s="35">
        <v>0.06</v>
      </c>
      <c r="K74" s="36">
        <v>4173.1528291766672</v>
      </c>
      <c r="L74" s="37">
        <f>+H74*J74*K74*F74</f>
        <v>3755.8375462590002</v>
      </c>
      <c r="M74" s="38">
        <f t="shared" si="23"/>
        <v>751.16750925180008</v>
      </c>
      <c r="N74" s="38">
        <f t="shared" si="23"/>
        <v>751.16750925180008</v>
      </c>
      <c r="O74" s="38">
        <f t="shared" si="23"/>
        <v>751.16750925180008</v>
      </c>
      <c r="P74" s="38">
        <f t="shared" si="23"/>
        <v>751.16750925180008</v>
      </c>
      <c r="Q74" s="38">
        <f t="shared" si="23"/>
        <v>751.16750925180008</v>
      </c>
      <c r="R74" s="38">
        <f t="shared" si="24"/>
        <v>1877.9187731295001</v>
      </c>
      <c r="S74" s="38">
        <f t="shared" si="24"/>
        <v>1877.9187731295001</v>
      </c>
    </row>
    <row r="75" spans="1:19" s="39" customFormat="1">
      <c r="B75" s="40"/>
      <c r="C75" s="40"/>
      <c r="D75" s="40" t="s">
        <v>151</v>
      </c>
      <c r="E75" s="41" t="s">
        <v>152</v>
      </c>
      <c r="F75" s="40"/>
      <c r="G75" s="40"/>
      <c r="H75" s="40"/>
      <c r="I75" s="40"/>
      <c r="J75" s="42"/>
      <c r="K75" s="40"/>
      <c r="L75" s="43">
        <f t="shared" ref="L75:S75" si="25">SUM(L76:L77)</f>
        <v>25559.098083847806</v>
      </c>
      <c r="M75" s="44">
        <f t="shared" si="25"/>
        <v>5111.8196167695605</v>
      </c>
      <c r="N75" s="44">
        <f t="shared" si="25"/>
        <v>5111.8196167695605</v>
      </c>
      <c r="O75" s="44">
        <f t="shared" si="25"/>
        <v>5111.8196167695605</v>
      </c>
      <c r="P75" s="44">
        <f t="shared" si="25"/>
        <v>5111.8196167695605</v>
      </c>
      <c r="Q75" s="44">
        <f t="shared" si="25"/>
        <v>5111.8196167695605</v>
      </c>
      <c r="R75" s="44">
        <f t="shared" si="25"/>
        <v>12779.549041923903</v>
      </c>
      <c r="S75" s="44">
        <f t="shared" si="25"/>
        <v>12779.549041923903</v>
      </c>
    </row>
    <row r="76" spans="1:19" s="9" customFormat="1">
      <c r="A76" s="31"/>
      <c r="B76" s="125"/>
      <c r="C76" s="125" t="str">
        <f>+IFERROR(VLOOKUP($B76, 'Services to Beneficiaries'!$B$7:$C$17, 2, 0), " ")</f>
        <v xml:space="preserve"> </v>
      </c>
      <c r="D76" s="32" t="s">
        <v>153</v>
      </c>
      <c r="E76" s="33" t="s">
        <v>385</v>
      </c>
      <c r="F76" s="34">
        <v>1</v>
      </c>
      <c r="G76" s="34" t="s">
        <v>95</v>
      </c>
      <c r="H76" s="34">
        <v>22</v>
      </c>
      <c r="I76" s="34" t="s">
        <v>351</v>
      </c>
      <c r="J76" s="35">
        <v>0.14499999999999999</v>
      </c>
      <c r="K76" s="36">
        <v>6855.8247651200008</v>
      </c>
      <c r="L76" s="37">
        <f>+H76*J76*K76*F76</f>
        <v>21870.081000732804</v>
      </c>
      <c r="M76" s="38">
        <f t="shared" ref="M76:Q77" si="26">$L76/5</f>
        <v>4374.0162001465605</v>
      </c>
      <c r="N76" s="38">
        <f t="shared" si="26"/>
        <v>4374.0162001465605</v>
      </c>
      <c r="O76" s="38">
        <f t="shared" si="26"/>
        <v>4374.0162001465605</v>
      </c>
      <c r="P76" s="38">
        <f t="shared" si="26"/>
        <v>4374.0162001465605</v>
      </c>
      <c r="Q76" s="38">
        <f t="shared" si="26"/>
        <v>4374.0162001465605</v>
      </c>
      <c r="R76" s="38">
        <f>$L76/2</f>
        <v>10935.040500366402</v>
      </c>
      <c r="S76" s="38">
        <f>$L76/2</f>
        <v>10935.040500366402</v>
      </c>
    </row>
    <row r="77" spans="1:19" s="9" customFormat="1">
      <c r="A77" s="31"/>
      <c r="B77" s="125"/>
      <c r="C77" s="125" t="str">
        <f>+IFERROR(VLOOKUP($B77, 'Services to Beneficiaries'!$B$7:$C$17, 2, 0), " ")</f>
        <v xml:space="preserve"> </v>
      </c>
      <c r="D77" s="32" t="s">
        <v>155</v>
      </c>
      <c r="E77" s="33" t="s">
        <v>386</v>
      </c>
      <c r="F77" s="34">
        <v>1</v>
      </c>
      <c r="G77" s="34" t="s">
        <v>95</v>
      </c>
      <c r="H77" s="34">
        <v>15</v>
      </c>
      <c r="I77" s="34" t="s">
        <v>351</v>
      </c>
      <c r="J77" s="35">
        <v>0.05</v>
      </c>
      <c r="K77" s="36">
        <v>4918.6894441533341</v>
      </c>
      <c r="L77" s="37">
        <f>+H77*J77*K77*F77</f>
        <v>3689.0170831150008</v>
      </c>
      <c r="M77" s="38">
        <f t="shared" si="26"/>
        <v>737.8034166230002</v>
      </c>
      <c r="N77" s="38">
        <f t="shared" si="26"/>
        <v>737.8034166230002</v>
      </c>
      <c r="O77" s="38">
        <f t="shared" si="26"/>
        <v>737.8034166230002</v>
      </c>
      <c r="P77" s="38">
        <f t="shared" si="26"/>
        <v>737.8034166230002</v>
      </c>
      <c r="Q77" s="38">
        <f t="shared" si="26"/>
        <v>737.8034166230002</v>
      </c>
      <c r="R77" s="38">
        <f>$L77/2</f>
        <v>1844.5085415575004</v>
      </c>
      <c r="S77" s="38">
        <f>$L77/2</f>
        <v>1844.5085415575004</v>
      </c>
    </row>
    <row r="78" spans="1:19" s="5" customFormat="1" ht="15.6">
      <c r="B78" s="6"/>
      <c r="C78" s="6"/>
      <c r="D78" s="6" t="s">
        <v>157</v>
      </c>
      <c r="E78" s="20" t="s">
        <v>158</v>
      </c>
      <c r="F78" s="7"/>
      <c r="G78" s="7"/>
      <c r="H78" s="7"/>
      <c r="I78" s="7"/>
      <c r="J78" s="21"/>
      <c r="K78" s="22"/>
      <c r="L78" s="23">
        <f t="shared" ref="L78:S78" si="27">SUM(L79,L86,L97,L99,L104)</f>
        <v>62618.378836803546</v>
      </c>
      <c r="M78" s="8">
        <f t="shared" si="27"/>
        <v>12523.675767360708</v>
      </c>
      <c r="N78" s="8">
        <f t="shared" si="27"/>
        <v>12523.675767360708</v>
      </c>
      <c r="O78" s="8">
        <f t="shared" si="27"/>
        <v>12523.675767360708</v>
      </c>
      <c r="P78" s="8">
        <f t="shared" si="27"/>
        <v>12523.675767360708</v>
      </c>
      <c r="Q78" s="8">
        <f t="shared" si="27"/>
        <v>12523.675767360708</v>
      </c>
      <c r="R78" s="8">
        <f t="shared" si="27"/>
        <v>31309.189418401773</v>
      </c>
      <c r="S78" s="8">
        <f t="shared" si="27"/>
        <v>31309.189418401773</v>
      </c>
    </row>
    <row r="79" spans="1:19" s="10" customFormat="1">
      <c r="A79" s="9"/>
      <c r="B79" s="24"/>
      <c r="C79" s="24"/>
      <c r="D79" s="24" t="s">
        <v>159</v>
      </c>
      <c r="E79" s="26" t="s">
        <v>160</v>
      </c>
      <c r="F79" s="25"/>
      <c r="G79" s="25"/>
      <c r="H79" s="25"/>
      <c r="I79" s="25"/>
      <c r="J79" s="27"/>
      <c r="K79" s="28"/>
      <c r="L79" s="29">
        <f t="shared" ref="L79:S79" si="28" xml:space="preserve"> SUM(L80,L84)</f>
        <v>16388.269353021617</v>
      </c>
      <c r="M79" s="30">
        <f t="shared" si="28"/>
        <v>3277.6538706043234</v>
      </c>
      <c r="N79" s="30">
        <f t="shared" si="28"/>
        <v>3277.6538706043234</v>
      </c>
      <c r="O79" s="30">
        <f t="shared" si="28"/>
        <v>3277.6538706043234</v>
      </c>
      <c r="P79" s="30">
        <f t="shared" si="28"/>
        <v>3277.6538706043234</v>
      </c>
      <c r="Q79" s="30">
        <f t="shared" si="28"/>
        <v>3277.6538706043234</v>
      </c>
      <c r="R79" s="30">
        <f t="shared" si="28"/>
        <v>8194.1346765108083</v>
      </c>
      <c r="S79" s="30">
        <f t="shared" si="28"/>
        <v>8194.1346765108083</v>
      </c>
    </row>
    <row r="80" spans="1:19" s="39" customFormat="1">
      <c r="B80" s="40"/>
      <c r="C80" s="40"/>
      <c r="D80" s="40" t="s">
        <v>161</v>
      </c>
      <c r="E80" s="41" t="s">
        <v>162</v>
      </c>
      <c r="F80" s="40"/>
      <c r="G80" s="40"/>
      <c r="H80" s="40"/>
      <c r="I80" s="40"/>
      <c r="J80" s="42"/>
      <c r="K80" s="40"/>
      <c r="L80" s="43">
        <f t="shared" ref="L80:S80" si="29">SUM(L81:L83)</f>
        <v>16388.269353021617</v>
      </c>
      <c r="M80" s="44">
        <f t="shared" si="29"/>
        <v>3277.6538706043234</v>
      </c>
      <c r="N80" s="44">
        <f t="shared" si="29"/>
        <v>3277.6538706043234</v>
      </c>
      <c r="O80" s="44">
        <f t="shared" si="29"/>
        <v>3277.6538706043234</v>
      </c>
      <c r="P80" s="44">
        <f t="shared" si="29"/>
        <v>3277.6538706043234</v>
      </c>
      <c r="Q80" s="44">
        <f t="shared" si="29"/>
        <v>3277.6538706043234</v>
      </c>
      <c r="R80" s="44">
        <f t="shared" si="29"/>
        <v>8194.1346765108083</v>
      </c>
      <c r="S80" s="44">
        <f t="shared" si="29"/>
        <v>8194.1346765108083</v>
      </c>
    </row>
    <row r="81" spans="1:19" s="9" customFormat="1">
      <c r="A81" s="31"/>
      <c r="B81" s="125"/>
      <c r="C81" s="125" t="str">
        <f>+IFERROR(VLOOKUP($B81, 'Services to Beneficiaries'!$B$7:$C$17, 2, 0), " ")</f>
        <v xml:space="preserve"> </v>
      </c>
      <c r="D81" s="32" t="s">
        <v>163</v>
      </c>
      <c r="E81" s="33" t="s">
        <v>387</v>
      </c>
      <c r="F81" s="34">
        <v>1</v>
      </c>
      <c r="G81" s="34" t="s">
        <v>332</v>
      </c>
      <c r="H81" s="34">
        <v>1</v>
      </c>
      <c r="I81" s="34" t="s">
        <v>332</v>
      </c>
      <c r="J81" s="35">
        <v>1</v>
      </c>
      <c r="K81" s="36">
        <v>3048.9803447482077</v>
      </c>
      <c r="L81" s="37">
        <f>+H81*J81*K81*F81</f>
        <v>3048.9803447482077</v>
      </c>
      <c r="M81" s="38">
        <f t="shared" ref="M81:Q83" si="30">$L81/5</f>
        <v>609.79606894964149</v>
      </c>
      <c r="N81" s="38">
        <f t="shared" si="30"/>
        <v>609.79606894964149</v>
      </c>
      <c r="O81" s="38">
        <f t="shared" si="30"/>
        <v>609.79606894964149</v>
      </c>
      <c r="P81" s="38">
        <f t="shared" si="30"/>
        <v>609.79606894964149</v>
      </c>
      <c r="Q81" s="38">
        <f t="shared" si="30"/>
        <v>609.79606894964149</v>
      </c>
      <c r="R81" s="38">
        <f t="shared" ref="R81:S83" si="31">$L81/2</f>
        <v>1524.4901723741038</v>
      </c>
      <c r="S81" s="38">
        <f t="shared" si="31"/>
        <v>1524.4901723741038</v>
      </c>
    </row>
    <row r="82" spans="1:19" s="9" customFormat="1">
      <c r="A82" s="31"/>
      <c r="B82" s="125"/>
      <c r="C82" s="125" t="str">
        <f>+IFERROR(VLOOKUP($B82, 'Services to Beneficiaries'!$B$7:$C$17, 2, 0), " ")</f>
        <v xml:space="preserve"> </v>
      </c>
      <c r="D82" s="32" t="s">
        <v>167</v>
      </c>
      <c r="E82" s="33" t="s">
        <v>388</v>
      </c>
      <c r="F82" s="34">
        <v>1</v>
      </c>
      <c r="G82" s="34" t="s">
        <v>331</v>
      </c>
      <c r="H82" s="34">
        <v>24</v>
      </c>
      <c r="I82" s="34" t="s">
        <v>351</v>
      </c>
      <c r="J82" s="35">
        <v>1</v>
      </c>
      <c r="K82" s="36">
        <v>533.57156033093634</v>
      </c>
      <c r="L82" s="37">
        <f>+H82*J82*K82*F82</f>
        <v>12805.717447942472</v>
      </c>
      <c r="M82" s="38">
        <f t="shared" si="30"/>
        <v>2561.1434895884945</v>
      </c>
      <c r="N82" s="38">
        <f t="shared" si="30"/>
        <v>2561.1434895884945</v>
      </c>
      <c r="O82" s="38">
        <f t="shared" si="30"/>
        <v>2561.1434895884945</v>
      </c>
      <c r="P82" s="38">
        <f t="shared" si="30"/>
        <v>2561.1434895884945</v>
      </c>
      <c r="Q82" s="38">
        <f t="shared" si="30"/>
        <v>2561.1434895884945</v>
      </c>
      <c r="R82" s="38">
        <f t="shared" si="31"/>
        <v>6402.858723971236</v>
      </c>
      <c r="S82" s="38">
        <f t="shared" si="31"/>
        <v>6402.858723971236</v>
      </c>
    </row>
    <row r="83" spans="1:19" s="9" customFormat="1">
      <c r="A83" s="31"/>
      <c r="B83" s="125"/>
      <c r="C83" s="125" t="str">
        <f>+IFERROR(VLOOKUP($B83, 'Services to Beneficiaries'!$B$7:$C$17, 2, 0), " ")</f>
        <v xml:space="preserve"> </v>
      </c>
      <c r="D83" s="32" t="s">
        <v>169</v>
      </c>
      <c r="E83" s="33" t="s">
        <v>389</v>
      </c>
      <c r="F83" s="34">
        <v>1</v>
      </c>
      <c r="G83" s="34" t="s">
        <v>331</v>
      </c>
      <c r="H83" s="34">
        <v>2</v>
      </c>
      <c r="I83" s="34" t="s">
        <v>390</v>
      </c>
      <c r="J83" s="35">
        <v>1</v>
      </c>
      <c r="K83" s="36">
        <v>266.78578016546817</v>
      </c>
      <c r="L83" s="37">
        <f>+H83*J83*K83*F83</f>
        <v>533.57156033093634</v>
      </c>
      <c r="M83" s="38">
        <f t="shared" si="30"/>
        <v>106.71431206618726</v>
      </c>
      <c r="N83" s="38">
        <f t="shared" si="30"/>
        <v>106.71431206618726</v>
      </c>
      <c r="O83" s="38">
        <f t="shared" si="30"/>
        <v>106.71431206618726</v>
      </c>
      <c r="P83" s="38">
        <f t="shared" si="30"/>
        <v>106.71431206618726</v>
      </c>
      <c r="Q83" s="38">
        <f t="shared" si="30"/>
        <v>106.71431206618726</v>
      </c>
      <c r="R83" s="38">
        <f t="shared" si="31"/>
        <v>266.78578016546817</v>
      </c>
      <c r="S83" s="38">
        <f t="shared" si="31"/>
        <v>266.78578016546817</v>
      </c>
    </row>
    <row r="84" spans="1:19" s="39" customFormat="1">
      <c r="B84" s="40"/>
      <c r="C84" s="40"/>
      <c r="D84" s="40" t="s">
        <v>188</v>
      </c>
      <c r="E84" s="41" t="s">
        <v>189</v>
      </c>
      <c r="F84" s="40"/>
      <c r="G84" s="40"/>
      <c r="H84" s="40"/>
      <c r="I84" s="40"/>
      <c r="J84" s="42"/>
      <c r="K84" s="40"/>
      <c r="L84" s="43">
        <f t="shared" ref="L84:S84" si="32">SUM(L85:L85)</f>
        <v>0</v>
      </c>
      <c r="M84" s="44">
        <f t="shared" si="32"/>
        <v>0</v>
      </c>
      <c r="N84" s="44">
        <f t="shared" si="32"/>
        <v>0</v>
      </c>
      <c r="O84" s="44">
        <f t="shared" si="32"/>
        <v>0</v>
      </c>
      <c r="P84" s="44">
        <f t="shared" si="32"/>
        <v>0</v>
      </c>
      <c r="Q84" s="44">
        <f t="shared" si="32"/>
        <v>0</v>
      </c>
      <c r="R84" s="44">
        <f t="shared" si="32"/>
        <v>0</v>
      </c>
      <c r="S84" s="44">
        <f t="shared" si="32"/>
        <v>0</v>
      </c>
    </row>
    <row r="85" spans="1:19" s="9" customFormat="1">
      <c r="A85" s="31"/>
      <c r="B85" s="125"/>
      <c r="C85" s="125" t="str">
        <f>+IFERROR(VLOOKUP($B85, 'Services to Beneficiaries'!$B$7:$C$17, 2, 0), " ")</f>
        <v xml:space="preserve"> </v>
      </c>
      <c r="D85" s="32" t="s">
        <v>190</v>
      </c>
      <c r="E85" s="33"/>
      <c r="F85" s="34"/>
      <c r="G85" s="34"/>
      <c r="H85" s="34"/>
      <c r="I85" s="34"/>
      <c r="J85" s="35"/>
      <c r="K85" s="36">
        <v>0</v>
      </c>
      <c r="L85" s="37">
        <f>+H85*J85*K85*F85</f>
        <v>0</v>
      </c>
      <c r="M85" s="38">
        <f>$L85/5</f>
        <v>0</v>
      </c>
      <c r="N85" s="38">
        <f>$L85/5</f>
        <v>0</v>
      </c>
      <c r="O85" s="38">
        <f>$L85/5</f>
        <v>0</v>
      </c>
      <c r="P85" s="38">
        <f>$L85/5</f>
        <v>0</v>
      </c>
      <c r="Q85" s="38">
        <f>$L85/5</f>
        <v>0</v>
      </c>
      <c r="R85" s="38">
        <f>$L85/2</f>
        <v>0</v>
      </c>
      <c r="S85" s="38">
        <f>$L85/2</f>
        <v>0</v>
      </c>
    </row>
    <row r="86" spans="1:19" s="10" customFormat="1">
      <c r="A86" s="9"/>
      <c r="B86" s="24"/>
      <c r="C86" s="24"/>
      <c r="D86" s="24" t="s">
        <v>192</v>
      </c>
      <c r="E86" s="26" t="s">
        <v>193</v>
      </c>
      <c r="F86" s="25"/>
      <c r="G86" s="25"/>
      <c r="H86" s="25"/>
      <c r="I86" s="25"/>
      <c r="J86" s="27"/>
      <c r="K86" s="28"/>
      <c r="L86" s="29">
        <f t="shared" ref="L86:S86" si="33">SUM(L87,L92)</f>
        <v>20225.193307874055</v>
      </c>
      <c r="M86" s="212">
        <f t="shared" si="33"/>
        <v>4045.0386615748102</v>
      </c>
      <c r="N86" s="212">
        <f t="shared" si="33"/>
        <v>4045.0386615748102</v>
      </c>
      <c r="O86" s="212">
        <f t="shared" si="33"/>
        <v>4045.0386615748102</v>
      </c>
      <c r="P86" s="212">
        <f t="shared" si="33"/>
        <v>4045.0386615748102</v>
      </c>
      <c r="Q86" s="212">
        <f t="shared" si="33"/>
        <v>4045.0386615748102</v>
      </c>
      <c r="R86" s="212">
        <f t="shared" si="33"/>
        <v>10112.596653937027</v>
      </c>
      <c r="S86" s="212">
        <f t="shared" si="33"/>
        <v>10112.596653937027</v>
      </c>
    </row>
    <row r="87" spans="1:19" s="39" customFormat="1">
      <c r="B87" s="40"/>
      <c r="C87" s="40"/>
      <c r="D87" s="40" t="s">
        <v>194</v>
      </c>
      <c r="E87" s="41" t="s">
        <v>195</v>
      </c>
      <c r="F87" s="40"/>
      <c r="G87" s="40"/>
      <c r="H87" s="40"/>
      <c r="I87" s="40"/>
      <c r="J87" s="42"/>
      <c r="K87" s="40"/>
      <c r="L87" s="43">
        <f t="shared" ref="L87:S87" si="34">SUM(L88,L90)</f>
        <v>10346.49699088986</v>
      </c>
      <c r="M87" s="210">
        <f t="shared" si="34"/>
        <v>2069.2993981779719</v>
      </c>
      <c r="N87" s="210">
        <f t="shared" si="34"/>
        <v>2069.2993981779719</v>
      </c>
      <c r="O87" s="210">
        <f t="shared" si="34"/>
        <v>2069.2993981779719</v>
      </c>
      <c r="P87" s="210">
        <f t="shared" si="34"/>
        <v>2069.2993981779719</v>
      </c>
      <c r="Q87" s="210">
        <f t="shared" si="34"/>
        <v>2069.2993981779719</v>
      </c>
      <c r="R87" s="210">
        <f t="shared" si="34"/>
        <v>5173.2484954449301</v>
      </c>
      <c r="S87" s="210">
        <f t="shared" si="34"/>
        <v>5173.2484954449301</v>
      </c>
    </row>
    <row r="88" spans="1:19" s="9" customFormat="1">
      <c r="A88" s="31"/>
      <c r="B88" s="45"/>
      <c r="C88" s="45"/>
      <c r="D88" s="45" t="s">
        <v>196</v>
      </c>
      <c r="E88" s="47" t="s">
        <v>197</v>
      </c>
      <c r="F88" s="46"/>
      <c r="G88" s="46"/>
      <c r="H88" s="46"/>
      <c r="I88" s="46"/>
      <c r="J88" s="48"/>
      <c r="K88" s="46"/>
      <c r="L88" s="49">
        <f t="shared" ref="L88:S88" si="35">SUM(L89:L89)</f>
        <v>4767</v>
      </c>
      <c r="M88" s="50">
        <f t="shared" si="35"/>
        <v>953.4</v>
      </c>
      <c r="N88" s="50">
        <f t="shared" si="35"/>
        <v>953.4</v>
      </c>
      <c r="O88" s="50">
        <f t="shared" si="35"/>
        <v>953.4</v>
      </c>
      <c r="P88" s="50">
        <f t="shared" si="35"/>
        <v>953.4</v>
      </c>
      <c r="Q88" s="50">
        <f t="shared" si="35"/>
        <v>953.4</v>
      </c>
      <c r="R88" s="50">
        <f t="shared" si="35"/>
        <v>2383.5</v>
      </c>
      <c r="S88" s="50">
        <f t="shared" si="35"/>
        <v>2383.5</v>
      </c>
    </row>
    <row r="89" spans="1:19" s="9" customFormat="1">
      <c r="A89" s="31"/>
      <c r="B89" s="125"/>
      <c r="C89" s="125" t="str">
        <f>+IFERROR(VLOOKUP($B89, 'Services to Beneficiaries'!$B$7:$C$17, 2, 0), " ")</f>
        <v xml:space="preserve"> </v>
      </c>
      <c r="D89" s="32" t="s">
        <v>198</v>
      </c>
      <c r="E89" s="33" t="s">
        <v>391</v>
      </c>
      <c r="F89" s="34">
        <v>3</v>
      </c>
      <c r="G89" s="34" t="s">
        <v>392</v>
      </c>
      <c r="H89" s="34">
        <v>1</v>
      </c>
      <c r="I89" s="34" t="s">
        <v>332</v>
      </c>
      <c r="J89" s="35">
        <v>1</v>
      </c>
      <c r="K89" s="36">
        <v>1589</v>
      </c>
      <c r="L89" s="37">
        <f>+H89*J89*K89*F89</f>
        <v>4767</v>
      </c>
      <c r="M89" s="38">
        <f>$L89/5</f>
        <v>953.4</v>
      </c>
      <c r="N89" s="38">
        <f>$L89/5</f>
        <v>953.4</v>
      </c>
      <c r="O89" s="38">
        <f>$L89/5</f>
        <v>953.4</v>
      </c>
      <c r="P89" s="38">
        <f>$L89/5</f>
        <v>953.4</v>
      </c>
      <c r="Q89" s="38">
        <f>$L89/5</f>
        <v>953.4</v>
      </c>
      <c r="R89" s="38">
        <f>$L89/2</f>
        <v>2383.5</v>
      </c>
      <c r="S89" s="38">
        <f>$L89/2</f>
        <v>2383.5</v>
      </c>
    </row>
    <row r="90" spans="1:19" s="9" customFormat="1">
      <c r="A90" s="31"/>
      <c r="B90" s="45"/>
      <c r="C90" s="45"/>
      <c r="D90" s="45" t="s">
        <v>204</v>
      </c>
      <c r="E90" s="47" t="s">
        <v>205</v>
      </c>
      <c r="F90" s="46"/>
      <c r="G90" s="46"/>
      <c r="H90" s="46"/>
      <c r="I90" s="46"/>
      <c r="J90" s="48"/>
      <c r="K90" s="46"/>
      <c r="L90" s="49">
        <f t="shared" ref="L90:S90" si="36">SUM(L91:L91)</f>
        <v>5579.4969908898602</v>
      </c>
      <c r="M90" s="50">
        <f t="shared" si="36"/>
        <v>1115.899398177972</v>
      </c>
      <c r="N90" s="50">
        <f t="shared" si="36"/>
        <v>1115.899398177972</v>
      </c>
      <c r="O90" s="50">
        <f t="shared" si="36"/>
        <v>1115.899398177972</v>
      </c>
      <c r="P90" s="50">
        <f t="shared" si="36"/>
        <v>1115.899398177972</v>
      </c>
      <c r="Q90" s="50">
        <f t="shared" si="36"/>
        <v>1115.899398177972</v>
      </c>
      <c r="R90" s="50">
        <f t="shared" si="36"/>
        <v>2789.7484954449301</v>
      </c>
      <c r="S90" s="50">
        <f t="shared" si="36"/>
        <v>2789.7484954449301</v>
      </c>
    </row>
    <row r="91" spans="1:19" s="9" customFormat="1">
      <c r="A91" s="31"/>
      <c r="B91" s="125"/>
      <c r="C91" s="125" t="str">
        <f>+IFERROR(VLOOKUP($B91, 'Services to Beneficiaries'!$B$7:$C$17, 2, 0), " ")</f>
        <v xml:space="preserve"> </v>
      </c>
      <c r="D91" s="32" t="s">
        <v>206</v>
      </c>
      <c r="E91" s="33" t="s">
        <v>203</v>
      </c>
      <c r="F91" s="34">
        <v>3</v>
      </c>
      <c r="G91" s="34" t="s">
        <v>392</v>
      </c>
      <c r="H91" s="34">
        <v>1</v>
      </c>
      <c r="I91" s="34" t="s">
        <v>332</v>
      </c>
      <c r="J91" s="35">
        <v>1</v>
      </c>
      <c r="K91" s="36">
        <v>1859.8323302966201</v>
      </c>
      <c r="L91" s="37">
        <f>+H91*J91*K91*F91</f>
        <v>5579.4969908898602</v>
      </c>
      <c r="M91" s="38">
        <f>$L91/5</f>
        <v>1115.899398177972</v>
      </c>
      <c r="N91" s="38">
        <f>$L91/5</f>
        <v>1115.899398177972</v>
      </c>
      <c r="O91" s="38">
        <f>$L91/5</f>
        <v>1115.899398177972</v>
      </c>
      <c r="P91" s="38">
        <f>$L91/5</f>
        <v>1115.899398177972</v>
      </c>
      <c r="Q91" s="38">
        <f>$L91/5</f>
        <v>1115.899398177972</v>
      </c>
      <c r="R91" s="38">
        <f>$L91/2</f>
        <v>2789.7484954449301</v>
      </c>
      <c r="S91" s="38">
        <f>$L91/2</f>
        <v>2789.7484954449301</v>
      </c>
    </row>
    <row r="92" spans="1:19" s="39" customFormat="1">
      <c r="B92" s="51"/>
      <c r="C92" s="51"/>
      <c r="D92" s="51" t="s">
        <v>207</v>
      </c>
      <c r="E92" s="52" t="s">
        <v>208</v>
      </c>
      <c r="F92" s="51"/>
      <c r="G92" s="51"/>
      <c r="H92" s="51"/>
      <c r="I92" s="51"/>
      <c r="J92" s="53"/>
      <c r="K92" s="51"/>
      <c r="L92" s="54">
        <f t="shared" ref="L92:S92" si="37">SUM(L93,L95)</f>
        <v>9878.6963169841929</v>
      </c>
      <c r="M92" s="211">
        <f t="shared" si="37"/>
        <v>1975.7392633968386</v>
      </c>
      <c r="N92" s="211">
        <f t="shared" si="37"/>
        <v>1975.7392633968386</v>
      </c>
      <c r="O92" s="211">
        <f t="shared" si="37"/>
        <v>1975.7392633968386</v>
      </c>
      <c r="P92" s="211">
        <f t="shared" si="37"/>
        <v>1975.7392633968386</v>
      </c>
      <c r="Q92" s="211">
        <f t="shared" si="37"/>
        <v>1975.7392633968386</v>
      </c>
      <c r="R92" s="211">
        <f t="shared" si="37"/>
        <v>4939.3481584920964</v>
      </c>
      <c r="S92" s="211">
        <f t="shared" si="37"/>
        <v>4939.3481584920964</v>
      </c>
    </row>
    <row r="93" spans="1:19" s="9" customFormat="1">
      <c r="A93" s="31"/>
      <c r="B93" s="45"/>
      <c r="C93" s="45"/>
      <c r="D93" s="45" t="s">
        <v>209</v>
      </c>
      <c r="E93" s="47" t="s">
        <v>393</v>
      </c>
      <c r="F93" s="46"/>
      <c r="G93" s="46"/>
      <c r="H93" s="46"/>
      <c r="I93" s="46"/>
      <c r="J93" s="48"/>
      <c r="K93" s="46"/>
      <c r="L93" s="49">
        <f t="shared" ref="L93:S93" si="38">SUM(L94:L94)</f>
        <v>9878.6963169841929</v>
      </c>
      <c r="M93" s="50">
        <f t="shared" si="38"/>
        <v>1975.7392633968386</v>
      </c>
      <c r="N93" s="50">
        <f t="shared" si="38"/>
        <v>1975.7392633968386</v>
      </c>
      <c r="O93" s="50">
        <f t="shared" si="38"/>
        <v>1975.7392633968386</v>
      </c>
      <c r="P93" s="50">
        <f t="shared" si="38"/>
        <v>1975.7392633968386</v>
      </c>
      <c r="Q93" s="50">
        <f t="shared" si="38"/>
        <v>1975.7392633968386</v>
      </c>
      <c r="R93" s="50">
        <f t="shared" si="38"/>
        <v>4939.3481584920964</v>
      </c>
      <c r="S93" s="50">
        <f t="shared" si="38"/>
        <v>4939.3481584920964</v>
      </c>
    </row>
    <row r="94" spans="1:19" s="9" customFormat="1">
      <c r="A94" s="31"/>
      <c r="B94" s="125"/>
      <c r="C94" s="125" t="str">
        <f>+IFERROR(VLOOKUP($B94, 'Services to Beneficiaries'!$B$7:$C$17, 2, 0), " ")</f>
        <v xml:space="preserve"> </v>
      </c>
      <c r="D94" s="32" t="s">
        <v>394</v>
      </c>
      <c r="E94" s="33" t="s">
        <v>395</v>
      </c>
      <c r="F94" s="34">
        <v>3</v>
      </c>
      <c r="G94" s="34" t="s">
        <v>396</v>
      </c>
      <c r="H94" s="34">
        <v>24</v>
      </c>
      <c r="I94" s="34" t="s">
        <v>351</v>
      </c>
      <c r="J94" s="35">
        <v>1</v>
      </c>
      <c r="K94" s="36">
        <v>137.20411551366934</v>
      </c>
      <c r="L94" s="37">
        <f>+H94*J94*K94*F94</f>
        <v>9878.6963169841929</v>
      </c>
      <c r="M94" s="38">
        <f>$L94/5</f>
        <v>1975.7392633968386</v>
      </c>
      <c r="N94" s="38">
        <f>$L94/5</f>
        <v>1975.7392633968386</v>
      </c>
      <c r="O94" s="38">
        <f>$L94/5</f>
        <v>1975.7392633968386</v>
      </c>
      <c r="P94" s="38">
        <f>$L94/5</f>
        <v>1975.7392633968386</v>
      </c>
      <c r="Q94" s="38">
        <f>$L94/5</f>
        <v>1975.7392633968386</v>
      </c>
      <c r="R94" s="38">
        <f>$L94/2</f>
        <v>4939.3481584920964</v>
      </c>
      <c r="S94" s="38">
        <f>$L94/2</f>
        <v>4939.3481584920964</v>
      </c>
    </row>
    <row r="95" spans="1:19" s="9" customFormat="1">
      <c r="A95" s="31"/>
      <c r="B95" s="45"/>
      <c r="C95" s="45"/>
      <c r="D95" s="45" t="s">
        <v>212</v>
      </c>
      <c r="E95" s="47" t="s">
        <v>213</v>
      </c>
      <c r="F95" s="46"/>
      <c r="G95" s="46"/>
      <c r="H95" s="46"/>
      <c r="I95" s="46"/>
      <c r="J95" s="48"/>
      <c r="K95" s="46"/>
      <c r="L95" s="49">
        <f t="shared" ref="L95:S95" si="39">SUM(L96:L96)</f>
        <v>0</v>
      </c>
      <c r="M95" s="50">
        <f t="shared" si="39"/>
        <v>0</v>
      </c>
      <c r="N95" s="50">
        <f t="shared" si="39"/>
        <v>0</v>
      </c>
      <c r="O95" s="50">
        <f t="shared" si="39"/>
        <v>0</v>
      </c>
      <c r="P95" s="50">
        <f t="shared" si="39"/>
        <v>0</v>
      </c>
      <c r="Q95" s="50">
        <f t="shared" si="39"/>
        <v>0</v>
      </c>
      <c r="R95" s="50">
        <f t="shared" si="39"/>
        <v>0</v>
      </c>
      <c r="S95" s="50">
        <f t="shared" si="39"/>
        <v>0</v>
      </c>
    </row>
    <row r="96" spans="1:19" s="9" customFormat="1">
      <c r="A96" s="31"/>
      <c r="B96" s="125"/>
      <c r="C96" s="125" t="str">
        <f>+IFERROR(VLOOKUP($B96, 'Services to Beneficiaries'!$B$7:$C$17, 2, 0), " ")</f>
        <v xml:space="preserve"> </v>
      </c>
      <c r="D96" s="32" t="s">
        <v>394</v>
      </c>
      <c r="E96" s="33"/>
      <c r="F96" s="34"/>
      <c r="G96" s="34"/>
      <c r="H96" s="34"/>
      <c r="I96" s="34"/>
      <c r="J96" s="35"/>
      <c r="K96" s="36">
        <v>0</v>
      </c>
      <c r="L96" s="37">
        <f>+H96*J96*K96*F96</f>
        <v>0</v>
      </c>
      <c r="M96" s="38">
        <f>$L96/5</f>
        <v>0</v>
      </c>
      <c r="N96" s="38">
        <f>$L96/5</f>
        <v>0</v>
      </c>
      <c r="O96" s="38">
        <f>$L96/5</f>
        <v>0</v>
      </c>
      <c r="P96" s="38">
        <f>$L96/5</f>
        <v>0</v>
      </c>
      <c r="Q96" s="38">
        <f>$L96/5</f>
        <v>0</v>
      </c>
      <c r="R96" s="38">
        <f>$L96/2</f>
        <v>0</v>
      </c>
      <c r="S96" s="38">
        <f>$L96/2</f>
        <v>0</v>
      </c>
    </row>
    <row r="97" spans="1:19" s="10" customFormat="1">
      <c r="A97" s="9"/>
      <c r="B97" s="24"/>
      <c r="C97" s="24"/>
      <c r="D97" s="24" t="s">
        <v>222</v>
      </c>
      <c r="E97" s="26" t="s">
        <v>223</v>
      </c>
      <c r="F97" s="25"/>
      <c r="G97" s="25"/>
      <c r="H97" s="25"/>
      <c r="I97" s="25"/>
      <c r="J97" s="27"/>
      <c r="K97" s="28"/>
      <c r="L97" s="29">
        <f t="shared" ref="L97:S97" si="40">SUM(L98:L98)</f>
        <v>0</v>
      </c>
      <c r="M97" s="30">
        <f t="shared" si="40"/>
        <v>0</v>
      </c>
      <c r="N97" s="30">
        <f t="shared" si="40"/>
        <v>0</v>
      </c>
      <c r="O97" s="30">
        <f t="shared" si="40"/>
        <v>0</v>
      </c>
      <c r="P97" s="30">
        <f t="shared" si="40"/>
        <v>0</v>
      </c>
      <c r="Q97" s="30">
        <f t="shared" si="40"/>
        <v>0</v>
      </c>
      <c r="R97" s="30">
        <f t="shared" si="40"/>
        <v>0</v>
      </c>
      <c r="S97" s="30">
        <f t="shared" si="40"/>
        <v>0</v>
      </c>
    </row>
    <row r="98" spans="1:19" s="9" customFormat="1">
      <c r="A98" s="31"/>
      <c r="B98" s="125"/>
      <c r="C98" s="125" t="str">
        <f>+IFERROR(VLOOKUP($B98, 'Services to Beneficiaries'!$B$7:$C$17, 2, 0), " ")</f>
        <v xml:space="preserve"> </v>
      </c>
      <c r="D98" s="32" t="s">
        <v>224</v>
      </c>
      <c r="E98" s="33"/>
      <c r="F98" s="34"/>
      <c r="G98" s="34"/>
      <c r="H98" s="34"/>
      <c r="I98" s="34"/>
      <c r="J98" s="35"/>
      <c r="K98" s="36">
        <v>0</v>
      </c>
      <c r="L98" s="37">
        <f>+H98*J98*K98*F98</f>
        <v>0</v>
      </c>
      <c r="M98" s="38">
        <f>$L98/5</f>
        <v>0</v>
      </c>
      <c r="N98" s="38">
        <f>$L98/5</f>
        <v>0</v>
      </c>
      <c r="O98" s="38">
        <f>$L98/5</f>
        <v>0</v>
      </c>
      <c r="P98" s="38">
        <f>$L98/5</f>
        <v>0</v>
      </c>
      <c r="Q98" s="38">
        <f>$L98/5</f>
        <v>0</v>
      </c>
      <c r="R98" s="38">
        <f>$L98/2</f>
        <v>0</v>
      </c>
      <c r="S98" s="38">
        <f>$L98/2</f>
        <v>0</v>
      </c>
    </row>
    <row r="99" spans="1:19" s="10" customFormat="1">
      <c r="A99" s="9"/>
      <c r="B99" s="24"/>
      <c r="C99" s="24"/>
      <c r="D99" s="24" t="s">
        <v>231</v>
      </c>
      <c r="E99" s="26" t="s">
        <v>232</v>
      </c>
      <c r="F99" s="25"/>
      <c r="G99" s="25"/>
      <c r="H99" s="25"/>
      <c r="I99" s="25"/>
      <c r="J99" s="27"/>
      <c r="K99" s="28"/>
      <c r="L99" s="29">
        <f>SUM(L102,L100)</f>
        <v>6247.5235419394867</v>
      </c>
      <c r="M99" s="30">
        <f t="shared" ref="M99:S99" si="41">SUM(M102,M100)</f>
        <v>1249.5047083878974</v>
      </c>
      <c r="N99" s="30">
        <f t="shared" si="41"/>
        <v>1249.5047083878974</v>
      </c>
      <c r="O99" s="30">
        <f t="shared" si="41"/>
        <v>1249.5047083878974</v>
      </c>
      <c r="P99" s="30">
        <f t="shared" si="41"/>
        <v>1249.5047083878974</v>
      </c>
      <c r="Q99" s="30">
        <f t="shared" si="41"/>
        <v>1249.5047083878974</v>
      </c>
      <c r="R99" s="30">
        <f t="shared" si="41"/>
        <v>3123.7617709697433</v>
      </c>
      <c r="S99" s="30">
        <f t="shared" si="41"/>
        <v>3123.7617709697433</v>
      </c>
    </row>
    <row r="100" spans="1:19" s="39" customFormat="1">
      <c r="B100" s="40"/>
      <c r="C100" s="40"/>
      <c r="D100" s="40" t="s">
        <v>233</v>
      </c>
      <c r="E100" s="41" t="s">
        <v>234</v>
      </c>
      <c r="F100" s="40"/>
      <c r="G100" s="40"/>
      <c r="H100" s="40"/>
      <c r="I100" s="40"/>
      <c r="J100" s="42"/>
      <c r="K100" s="40"/>
      <c r="L100" s="43">
        <f t="shared" ref="L100:S100" si="42">L101</f>
        <v>6247.5235419394867</v>
      </c>
      <c r="M100" s="44">
        <f t="shared" si="42"/>
        <v>1249.5047083878974</v>
      </c>
      <c r="N100" s="44">
        <f t="shared" si="42"/>
        <v>1249.5047083878974</v>
      </c>
      <c r="O100" s="44">
        <f t="shared" si="42"/>
        <v>1249.5047083878974</v>
      </c>
      <c r="P100" s="44">
        <f t="shared" si="42"/>
        <v>1249.5047083878974</v>
      </c>
      <c r="Q100" s="44">
        <f t="shared" si="42"/>
        <v>1249.5047083878974</v>
      </c>
      <c r="R100" s="44">
        <f t="shared" si="42"/>
        <v>3123.7617709697433</v>
      </c>
      <c r="S100" s="44">
        <f t="shared" si="42"/>
        <v>3123.7617709697433</v>
      </c>
    </row>
    <row r="101" spans="1:19" s="9" customFormat="1">
      <c r="A101" s="31"/>
      <c r="B101" s="125"/>
      <c r="C101" s="125" t="str">
        <f>+IFERROR(VLOOKUP($B101, 'Services to Beneficiaries'!$B$7:$C$17, 2, 0), " ")</f>
        <v xml:space="preserve"> </v>
      </c>
      <c r="D101" s="32" t="s">
        <v>235</v>
      </c>
      <c r="E101" s="33" t="s">
        <v>397</v>
      </c>
      <c r="F101" s="34">
        <v>1</v>
      </c>
      <c r="G101" s="34" t="s">
        <v>398</v>
      </c>
      <c r="H101" s="34">
        <v>24</v>
      </c>
      <c r="I101" s="34" t="s">
        <v>351</v>
      </c>
      <c r="J101" s="35">
        <v>0.15</v>
      </c>
      <c r="K101" s="36">
        <v>1735.423206094302</v>
      </c>
      <c r="L101" s="37">
        <f>+H101*J101*K101*F101</f>
        <v>6247.5235419394867</v>
      </c>
      <c r="M101" s="38">
        <f>$L101/5</f>
        <v>1249.5047083878974</v>
      </c>
      <c r="N101" s="38">
        <f>$L101/5</f>
        <v>1249.5047083878974</v>
      </c>
      <c r="O101" s="38">
        <f>$L101/5</f>
        <v>1249.5047083878974</v>
      </c>
      <c r="P101" s="38">
        <f>$L101/5</f>
        <v>1249.5047083878974</v>
      </c>
      <c r="Q101" s="38">
        <f>$L101/5</f>
        <v>1249.5047083878974</v>
      </c>
      <c r="R101" s="38">
        <f>$L101/2</f>
        <v>3123.7617709697433</v>
      </c>
      <c r="S101" s="38">
        <f>$L101/2</f>
        <v>3123.7617709697433</v>
      </c>
    </row>
    <row r="102" spans="1:19" s="39" customFormat="1">
      <c r="B102" s="40"/>
      <c r="C102" s="40"/>
      <c r="D102" s="40" t="s">
        <v>236</v>
      </c>
      <c r="E102" s="41" t="s">
        <v>237</v>
      </c>
      <c r="F102" s="40"/>
      <c r="G102" s="40"/>
      <c r="H102" s="40"/>
      <c r="I102" s="40"/>
      <c r="J102" s="42"/>
      <c r="K102" s="40"/>
      <c r="L102" s="43">
        <f t="shared" ref="L102:S102" si="43">SUM(L103:L103)</f>
        <v>0</v>
      </c>
      <c r="M102" s="44">
        <f t="shared" si="43"/>
        <v>0</v>
      </c>
      <c r="N102" s="44">
        <f t="shared" si="43"/>
        <v>0</v>
      </c>
      <c r="O102" s="44">
        <f t="shared" si="43"/>
        <v>0</v>
      </c>
      <c r="P102" s="44">
        <f t="shared" si="43"/>
        <v>0</v>
      </c>
      <c r="Q102" s="44">
        <f t="shared" si="43"/>
        <v>0</v>
      </c>
      <c r="R102" s="44">
        <f t="shared" si="43"/>
        <v>0</v>
      </c>
      <c r="S102" s="44">
        <f t="shared" si="43"/>
        <v>0</v>
      </c>
    </row>
    <row r="103" spans="1:19" s="9" customFormat="1">
      <c r="A103" s="31"/>
      <c r="B103" s="125"/>
      <c r="C103" s="125" t="str">
        <f>+IFERROR(VLOOKUP($B103, 'Services to Beneficiaries'!$B$7:$C$17, 2, 0), " ")</f>
        <v xml:space="preserve"> </v>
      </c>
      <c r="D103" s="32" t="s">
        <v>238</v>
      </c>
      <c r="E103" s="33"/>
      <c r="F103" s="34"/>
      <c r="G103" s="34"/>
      <c r="H103" s="34"/>
      <c r="I103" s="34"/>
      <c r="J103" s="35"/>
      <c r="K103" s="36">
        <v>0</v>
      </c>
      <c r="L103" s="37">
        <f>+H103*J103*K103*F103</f>
        <v>0</v>
      </c>
      <c r="M103" s="38">
        <f>$L103/5</f>
        <v>0</v>
      </c>
      <c r="N103" s="38">
        <f>$L103/5</f>
        <v>0</v>
      </c>
      <c r="O103" s="38">
        <f>$L103/5</f>
        <v>0</v>
      </c>
      <c r="P103" s="38">
        <f>$L103/5</f>
        <v>0</v>
      </c>
      <c r="Q103" s="38">
        <f>$L103/5</f>
        <v>0</v>
      </c>
      <c r="R103" s="38">
        <f>$L103/2</f>
        <v>0</v>
      </c>
      <c r="S103" s="38">
        <f>$L103/2</f>
        <v>0</v>
      </c>
    </row>
    <row r="104" spans="1:19" s="10" customFormat="1">
      <c r="A104" s="9"/>
      <c r="B104" s="24"/>
      <c r="C104" s="24"/>
      <c r="D104" s="24" t="s">
        <v>250</v>
      </c>
      <c r="E104" s="26" t="s">
        <v>251</v>
      </c>
      <c r="F104" s="25"/>
      <c r="G104" s="25"/>
      <c r="H104" s="25"/>
      <c r="I104" s="25"/>
      <c r="J104" s="27"/>
      <c r="K104" s="28"/>
      <c r="L104" s="29">
        <f t="shared" ref="L104:S104" si="44">SUM(L105:L106)</f>
        <v>19757.392633968386</v>
      </c>
      <c r="M104" s="30">
        <f t="shared" si="44"/>
        <v>3951.4785267936772</v>
      </c>
      <c r="N104" s="30">
        <f t="shared" si="44"/>
        <v>3951.4785267936772</v>
      </c>
      <c r="O104" s="30">
        <f t="shared" si="44"/>
        <v>3951.4785267936772</v>
      </c>
      <c r="P104" s="30">
        <f t="shared" si="44"/>
        <v>3951.4785267936772</v>
      </c>
      <c r="Q104" s="30">
        <f t="shared" si="44"/>
        <v>3951.4785267936772</v>
      </c>
      <c r="R104" s="30">
        <f t="shared" si="44"/>
        <v>9878.6963169841929</v>
      </c>
      <c r="S104" s="30">
        <f t="shared" si="44"/>
        <v>9878.6963169841929</v>
      </c>
    </row>
    <row r="105" spans="1:19" s="9" customFormat="1">
      <c r="A105" s="31"/>
      <c r="B105" s="125"/>
      <c r="C105" s="125" t="str">
        <f>+IFERROR(VLOOKUP($B105, 'Services to Beneficiaries'!$B$7:$C$17, 2, 0), " ")</f>
        <v xml:space="preserve"> </v>
      </c>
      <c r="D105" s="32" t="s">
        <v>252</v>
      </c>
      <c r="E105" s="33" t="s">
        <v>399</v>
      </c>
      <c r="F105" s="34">
        <v>1</v>
      </c>
      <c r="G105" s="34" t="s">
        <v>398</v>
      </c>
      <c r="H105" s="34">
        <v>24</v>
      </c>
      <c r="I105" s="34" t="s">
        <v>351</v>
      </c>
      <c r="J105" s="35">
        <v>0.1</v>
      </c>
      <c r="K105" s="36">
        <v>4573.4705171223113</v>
      </c>
      <c r="L105" s="37">
        <f>+H105*J105*K105*F105</f>
        <v>10976.329241093548</v>
      </c>
      <c r="M105" s="38">
        <f t="shared" ref="M105:Q106" si="45">$L105/5</f>
        <v>2195.2658482187098</v>
      </c>
      <c r="N105" s="38">
        <f t="shared" si="45"/>
        <v>2195.2658482187098</v>
      </c>
      <c r="O105" s="38">
        <f t="shared" si="45"/>
        <v>2195.2658482187098</v>
      </c>
      <c r="P105" s="38">
        <f t="shared" si="45"/>
        <v>2195.2658482187098</v>
      </c>
      <c r="Q105" s="38">
        <f t="shared" si="45"/>
        <v>2195.2658482187098</v>
      </c>
      <c r="R105" s="38">
        <f>$L105/2</f>
        <v>5488.1646205467741</v>
      </c>
      <c r="S105" s="38">
        <f>$L105/2</f>
        <v>5488.1646205467741</v>
      </c>
    </row>
    <row r="106" spans="1:19" s="9" customFormat="1">
      <c r="A106" s="31"/>
      <c r="B106" s="125"/>
      <c r="C106" s="125" t="str">
        <f>+IFERROR(VLOOKUP($B106, 'Services to Beneficiaries'!$B$7:$C$17, 2, 0), " ")</f>
        <v xml:space="preserve"> </v>
      </c>
      <c r="D106" s="32" t="s">
        <v>400</v>
      </c>
      <c r="E106" s="33" t="s">
        <v>401</v>
      </c>
      <c r="F106" s="34">
        <v>16</v>
      </c>
      <c r="G106" s="34" t="s">
        <v>398</v>
      </c>
      <c r="H106" s="34">
        <v>24</v>
      </c>
      <c r="I106" s="34" t="s">
        <v>351</v>
      </c>
      <c r="J106" s="35">
        <v>1</v>
      </c>
      <c r="K106" s="36">
        <v>22.867352585611556</v>
      </c>
      <c r="L106" s="37">
        <f>+H106*J106*K106*F106</f>
        <v>8781.0633928748375</v>
      </c>
      <c r="M106" s="38">
        <f t="shared" si="45"/>
        <v>1756.2126785749674</v>
      </c>
      <c r="N106" s="38">
        <f t="shared" si="45"/>
        <v>1756.2126785749674</v>
      </c>
      <c r="O106" s="38">
        <f t="shared" si="45"/>
        <v>1756.2126785749674</v>
      </c>
      <c r="P106" s="38">
        <f t="shared" si="45"/>
        <v>1756.2126785749674</v>
      </c>
      <c r="Q106" s="38">
        <f t="shared" si="45"/>
        <v>1756.2126785749674</v>
      </c>
      <c r="R106" s="38">
        <f>$L106/2</f>
        <v>4390.5316964374188</v>
      </c>
      <c r="S106" s="38">
        <f>$L106/2</f>
        <v>4390.5316964374188</v>
      </c>
    </row>
    <row r="107" spans="1:19" s="5" customFormat="1" ht="15.6">
      <c r="B107" s="6"/>
      <c r="C107" s="6"/>
      <c r="D107" s="6" t="s">
        <v>253</v>
      </c>
      <c r="E107" s="20" t="s">
        <v>254</v>
      </c>
      <c r="F107" s="7"/>
      <c r="G107" s="7"/>
      <c r="H107" s="7"/>
      <c r="I107" s="7"/>
      <c r="J107" s="21"/>
      <c r="K107" s="22"/>
      <c r="L107" s="8">
        <f t="shared" ref="L107:S107" si="46">SUM(L108:L109)</f>
        <v>17430.159727879807</v>
      </c>
      <c r="M107" s="8">
        <f t="shared" si="46"/>
        <v>3486.0319455759609</v>
      </c>
      <c r="N107" s="8">
        <f t="shared" si="46"/>
        <v>3486.0319455759609</v>
      </c>
      <c r="O107" s="8">
        <f t="shared" si="46"/>
        <v>3486.0319455759609</v>
      </c>
      <c r="P107" s="8">
        <f t="shared" si="46"/>
        <v>3486.0319455759609</v>
      </c>
      <c r="Q107" s="8">
        <f t="shared" si="46"/>
        <v>3486.0319455759609</v>
      </c>
      <c r="R107" s="8">
        <f t="shared" si="46"/>
        <v>0</v>
      </c>
      <c r="S107" s="8">
        <f t="shared" si="46"/>
        <v>17430.159727879807</v>
      </c>
    </row>
    <row r="108" spans="1:19" s="9" customFormat="1">
      <c r="A108" s="31"/>
      <c r="B108" s="125"/>
      <c r="C108" s="125" t="str">
        <f>+IFERROR(VLOOKUP($B108, 'Services to Beneficiaries'!$B$7:$C$17, 2, 0), " ")</f>
        <v xml:space="preserve"> </v>
      </c>
      <c r="D108" s="32" t="s">
        <v>255</v>
      </c>
      <c r="E108" s="33" t="s">
        <v>256</v>
      </c>
      <c r="F108" s="34">
        <v>1</v>
      </c>
      <c r="G108" s="34" t="s">
        <v>257</v>
      </c>
      <c r="H108" s="34">
        <v>1</v>
      </c>
      <c r="I108" s="34" t="s">
        <v>332</v>
      </c>
      <c r="J108" s="35">
        <v>1</v>
      </c>
      <c r="K108" s="36">
        <v>8863.1042654028442</v>
      </c>
      <c r="L108" s="37">
        <f>+H108*J108*K108*F108</f>
        <v>8863.1042654028442</v>
      </c>
      <c r="M108" s="38">
        <f t="shared" ref="M108:Q109" si="47">$L108/5</f>
        <v>1772.6208530805688</v>
      </c>
      <c r="N108" s="38">
        <f t="shared" si="47"/>
        <v>1772.6208530805688</v>
      </c>
      <c r="O108" s="38">
        <f t="shared" si="47"/>
        <v>1772.6208530805688</v>
      </c>
      <c r="P108" s="38">
        <f t="shared" si="47"/>
        <v>1772.6208530805688</v>
      </c>
      <c r="Q108" s="38">
        <f t="shared" si="47"/>
        <v>1772.6208530805688</v>
      </c>
      <c r="R108" s="38"/>
      <c r="S108" s="38">
        <f>$L108</f>
        <v>8863.1042654028442</v>
      </c>
    </row>
    <row r="109" spans="1:19" s="9" customFormat="1">
      <c r="A109" s="31"/>
      <c r="B109" s="125"/>
      <c r="C109" s="125" t="str">
        <f>+IFERROR(VLOOKUP($B109, 'Services to Beneficiaries'!$B$7:$C$17, 2, 0), " ")</f>
        <v xml:space="preserve"> </v>
      </c>
      <c r="D109" s="32" t="s">
        <v>258</v>
      </c>
      <c r="E109" s="33" t="s">
        <v>259</v>
      </c>
      <c r="F109" s="34">
        <v>1</v>
      </c>
      <c r="G109" s="34" t="s">
        <v>257</v>
      </c>
      <c r="H109" s="34">
        <v>1</v>
      </c>
      <c r="I109" s="34" t="s">
        <v>332</v>
      </c>
      <c r="J109" s="35">
        <v>1</v>
      </c>
      <c r="K109" s="36">
        <v>8567.0554624769611</v>
      </c>
      <c r="L109" s="37">
        <f>+H109*J109*K109*F109</f>
        <v>8567.0554624769611</v>
      </c>
      <c r="M109" s="38">
        <f t="shared" si="47"/>
        <v>1713.4110924953923</v>
      </c>
      <c r="N109" s="38">
        <f t="shared" si="47"/>
        <v>1713.4110924953923</v>
      </c>
      <c r="O109" s="38">
        <f t="shared" si="47"/>
        <v>1713.4110924953923</v>
      </c>
      <c r="P109" s="38">
        <f t="shared" si="47"/>
        <v>1713.4110924953923</v>
      </c>
      <c r="Q109" s="38">
        <f t="shared" si="47"/>
        <v>1713.4110924953923</v>
      </c>
      <c r="R109" s="38"/>
      <c r="S109" s="38">
        <f>$L109</f>
        <v>8567.0554624769611</v>
      </c>
    </row>
    <row r="110" spans="1:19" s="5" customFormat="1" ht="15.6">
      <c r="B110" s="6"/>
      <c r="C110" s="6"/>
      <c r="D110" s="6" t="s">
        <v>261</v>
      </c>
      <c r="E110" s="20" t="s">
        <v>262</v>
      </c>
      <c r="F110" s="7"/>
      <c r="G110" s="7"/>
      <c r="H110" s="7"/>
      <c r="I110" s="7"/>
      <c r="J110" s="21"/>
      <c r="K110" s="22"/>
      <c r="L110" s="23">
        <f t="shared" ref="L110:S110" si="48">SUM(L112,L118,L124,L129,L136,L140)</f>
        <v>594204.0837280493</v>
      </c>
      <c r="M110" s="8">
        <f t="shared" si="48"/>
        <v>203461.75130382023</v>
      </c>
      <c r="N110" s="8">
        <f t="shared" si="48"/>
        <v>218292.05572926279</v>
      </c>
      <c r="O110" s="8">
        <f t="shared" si="48"/>
        <v>95836.074620744956</v>
      </c>
      <c r="P110" s="8">
        <f t="shared" si="48"/>
        <v>14337.830071178447</v>
      </c>
      <c r="Q110" s="8">
        <f t="shared" si="48"/>
        <v>62276.372003042881</v>
      </c>
      <c r="R110" s="8">
        <f t="shared" si="48"/>
        <v>307418.554874786</v>
      </c>
      <c r="S110" s="8">
        <f t="shared" si="48"/>
        <v>286785.52885326324</v>
      </c>
    </row>
    <row r="111" spans="1:19" s="9" customFormat="1">
      <c r="B111" s="55"/>
      <c r="C111" s="55"/>
      <c r="D111" s="55"/>
      <c r="E111" s="283"/>
      <c r="F111" s="283"/>
      <c r="G111" s="283"/>
      <c r="H111" s="283"/>
      <c r="I111" s="283"/>
      <c r="J111" s="283"/>
      <c r="K111" s="5"/>
      <c r="L111" s="56"/>
      <c r="M111" s="56"/>
      <c r="N111" s="56"/>
      <c r="O111" s="56"/>
      <c r="P111" s="56"/>
      <c r="Q111" s="56"/>
      <c r="R111" s="56"/>
      <c r="S111" s="56"/>
    </row>
    <row r="112" spans="1:19" s="10" customFormat="1">
      <c r="A112" s="9"/>
      <c r="B112" s="24"/>
      <c r="C112" s="24"/>
      <c r="D112" s="24" t="s">
        <v>263</v>
      </c>
      <c r="E112" s="26" t="s">
        <v>264</v>
      </c>
      <c r="F112" s="25"/>
      <c r="G112" s="25"/>
      <c r="H112" s="25"/>
      <c r="I112" s="25"/>
      <c r="J112" s="27"/>
      <c r="K112" s="28"/>
      <c r="L112" s="57">
        <f>SUM(L113:L116)</f>
        <v>11631.860015214412</v>
      </c>
      <c r="M112" s="30">
        <f t="shared" ref="M112:S112" si="49">SUM(M113:M116)</f>
        <v>2326.3720030428822</v>
      </c>
      <c r="N112" s="30">
        <f t="shared" si="49"/>
        <v>2326.3720030428822</v>
      </c>
      <c r="O112" s="30">
        <f t="shared" si="49"/>
        <v>2326.3720030428822</v>
      </c>
      <c r="P112" s="30">
        <f t="shared" si="49"/>
        <v>2326.3720030428822</v>
      </c>
      <c r="Q112" s="30">
        <f t="shared" si="49"/>
        <v>2326.3720030428822</v>
      </c>
      <c r="R112" s="30">
        <f t="shared" si="49"/>
        <v>11631.860015214412</v>
      </c>
      <c r="S112" s="30">
        <f t="shared" si="49"/>
        <v>0</v>
      </c>
    </row>
    <row r="113" spans="1:19" s="9" customFormat="1">
      <c r="A113" s="31"/>
      <c r="B113" s="125"/>
      <c r="C113" s="125" t="str">
        <f>+IFERROR(VLOOKUP($B113, 'Services to Beneficiaries'!$B$7:$C$17, 2, 0), " ")</f>
        <v xml:space="preserve"> </v>
      </c>
      <c r="D113" s="32" t="s">
        <v>265</v>
      </c>
      <c r="E113" s="33" t="s">
        <v>402</v>
      </c>
      <c r="F113" s="34"/>
      <c r="G113" s="34"/>
      <c r="H113" s="34"/>
      <c r="I113" s="34"/>
      <c r="J113" s="35"/>
      <c r="K113" s="36">
        <v>0</v>
      </c>
      <c r="L113" s="37">
        <f>+H113*J113*K113*F113</f>
        <v>0</v>
      </c>
      <c r="M113" s="38">
        <f t="shared" ref="M113:Q116" si="50">$L113/5</f>
        <v>0</v>
      </c>
      <c r="N113" s="38">
        <f t="shared" si="50"/>
        <v>0</v>
      </c>
      <c r="O113" s="38">
        <f t="shared" si="50"/>
        <v>0</v>
      </c>
      <c r="P113" s="38">
        <f t="shared" si="50"/>
        <v>0</v>
      </c>
      <c r="Q113" s="38">
        <f t="shared" si="50"/>
        <v>0</v>
      </c>
      <c r="R113" s="38">
        <f>$L113</f>
        <v>0</v>
      </c>
      <c r="S113" s="38"/>
    </row>
    <row r="114" spans="1:19" s="9" customFormat="1">
      <c r="A114" s="31"/>
      <c r="B114" s="125"/>
      <c r="C114" s="125" t="str">
        <f>+IFERROR(VLOOKUP($B114, 'Services to Beneficiaries'!$B$7:$C$17, 2, 0), " ")</f>
        <v xml:space="preserve"> </v>
      </c>
      <c r="D114" s="32" t="s">
        <v>268</v>
      </c>
      <c r="E114" s="33" t="s">
        <v>403</v>
      </c>
      <c r="F114" s="34">
        <v>1</v>
      </c>
      <c r="G114" s="34" t="s">
        <v>404</v>
      </c>
      <c r="H114" s="34">
        <v>1</v>
      </c>
      <c r="I114" s="34" t="s">
        <v>332</v>
      </c>
      <c r="J114" s="35">
        <v>1</v>
      </c>
      <c r="K114" s="199">
        <v>4573.4705171223113</v>
      </c>
      <c r="L114" s="37">
        <f>+H114*J114*K114*F114</f>
        <v>4573.4705171223113</v>
      </c>
      <c r="M114" s="38">
        <f t="shared" si="50"/>
        <v>914.69410342446224</v>
      </c>
      <c r="N114" s="38">
        <f t="shared" si="50"/>
        <v>914.69410342446224</v>
      </c>
      <c r="O114" s="38">
        <f t="shared" si="50"/>
        <v>914.69410342446224</v>
      </c>
      <c r="P114" s="38">
        <f t="shared" si="50"/>
        <v>914.69410342446224</v>
      </c>
      <c r="Q114" s="38">
        <f t="shared" si="50"/>
        <v>914.69410342446224</v>
      </c>
      <c r="R114" s="38">
        <f>$L114</f>
        <v>4573.4705171223113</v>
      </c>
      <c r="S114" s="38"/>
    </row>
    <row r="115" spans="1:19" s="9" customFormat="1">
      <c r="A115" s="31"/>
      <c r="B115" s="125"/>
      <c r="C115" s="125" t="str">
        <f>+IFERROR(VLOOKUP($B115, 'Services to Beneficiaries'!$B$7:$C$17, 2, 0), " ")</f>
        <v xml:space="preserve"> </v>
      </c>
      <c r="D115" s="32" t="s">
        <v>271</v>
      </c>
      <c r="E115" s="33" t="s">
        <v>405</v>
      </c>
      <c r="F115" s="34">
        <v>10</v>
      </c>
      <c r="G115" s="34" t="s">
        <v>404</v>
      </c>
      <c r="H115" s="34">
        <v>1</v>
      </c>
      <c r="I115" s="34" t="s">
        <v>332</v>
      </c>
      <c r="J115" s="35">
        <v>1</v>
      </c>
      <c r="K115" s="199">
        <v>22.867352585611556</v>
      </c>
      <c r="L115" s="37">
        <f>+H115*J115*K115*F115</f>
        <v>228.67352585611556</v>
      </c>
      <c r="M115" s="38">
        <f t="shared" si="50"/>
        <v>45.734705171223112</v>
      </c>
      <c r="N115" s="38">
        <f t="shared" si="50"/>
        <v>45.734705171223112</v>
      </c>
      <c r="O115" s="38">
        <f t="shared" si="50"/>
        <v>45.734705171223112</v>
      </c>
      <c r="P115" s="38">
        <f t="shared" si="50"/>
        <v>45.734705171223112</v>
      </c>
      <c r="Q115" s="38">
        <f t="shared" si="50"/>
        <v>45.734705171223112</v>
      </c>
      <c r="R115" s="38">
        <f>$L115</f>
        <v>228.67352585611556</v>
      </c>
      <c r="S115" s="38"/>
    </row>
    <row r="116" spans="1:19" s="9" customFormat="1">
      <c r="A116" s="31"/>
      <c r="B116" s="125"/>
      <c r="C116" s="125" t="str">
        <f>+IFERROR(VLOOKUP($B116, 'Services to Beneficiaries'!$B$7:$C$17, 2, 0), " ")</f>
        <v xml:space="preserve"> </v>
      </c>
      <c r="D116" s="32" t="s">
        <v>273</v>
      </c>
      <c r="E116" s="33" t="s">
        <v>406</v>
      </c>
      <c r="F116" s="34">
        <v>5</v>
      </c>
      <c r="G116" s="34" t="s">
        <v>407</v>
      </c>
      <c r="H116" s="34">
        <v>8</v>
      </c>
      <c r="I116" s="34" t="s">
        <v>332</v>
      </c>
      <c r="J116" s="35">
        <v>1</v>
      </c>
      <c r="K116" s="199">
        <v>170.74289930589961</v>
      </c>
      <c r="L116" s="37">
        <f>+H116*J116*K116*F116</f>
        <v>6829.7159722359847</v>
      </c>
      <c r="M116" s="38">
        <f t="shared" si="50"/>
        <v>1365.9431944471969</v>
      </c>
      <c r="N116" s="38">
        <f t="shared" si="50"/>
        <v>1365.9431944471969</v>
      </c>
      <c r="O116" s="38">
        <f t="shared" si="50"/>
        <v>1365.9431944471969</v>
      </c>
      <c r="P116" s="38">
        <f t="shared" si="50"/>
        <v>1365.9431944471969</v>
      </c>
      <c r="Q116" s="38">
        <f t="shared" si="50"/>
        <v>1365.9431944471969</v>
      </c>
      <c r="R116" s="38">
        <f>$L116</f>
        <v>6829.7159722359847</v>
      </c>
      <c r="S116" s="38"/>
    </row>
    <row r="117" spans="1:19" s="9" customFormat="1">
      <c r="B117" s="55"/>
      <c r="C117" s="55"/>
      <c r="D117" s="55"/>
      <c r="E117" s="283"/>
      <c r="F117" s="283"/>
      <c r="G117" s="283"/>
      <c r="H117" s="283"/>
      <c r="I117" s="283"/>
      <c r="J117" s="283"/>
      <c r="K117" s="5"/>
      <c r="L117" s="56"/>
      <c r="M117" s="56"/>
      <c r="N117" s="56"/>
      <c r="O117" s="56"/>
      <c r="P117" s="56"/>
      <c r="Q117" s="56"/>
      <c r="R117" s="56"/>
      <c r="S117" s="56"/>
    </row>
    <row r="118" spans="1:19" s="10" customFormat="1" ht="39" customHeight="1">
      <c r="A118" s="9"/>
      <c r="B118" s="24"/>
      <c r="C118" s="24"/>
      <c r="D118" s="24" t="s">
        <v>49</v>
      </c>
      <c r="E118" s="269" t="s">
        <v>278</v>
      </c>
      <c r="F118" s="270"/>
      <c r="G118" s="270"/>
      <c r="H118" s="270"/>
      <c r="I118" s="270"/>
      <c r="J118" s="270"/>
      <c r="K118" s="271"/>
      <c r="L118" s="57">
        <f>SUM(L119:L123)</f>
        <v>201135.37930077733</v>
      </c>
      <c r="M118" s="30">
        <f t="shared" ref="M118:S118" si="51">SUM(M119:M123)</f>
        <v>201135.37930077733</v>
      </c>
      <c r="N118" s="30">
        <f t="shared" si="51"/>
        <v>0</v>
      </c>
      <c r="O118" s="30">
        <f t="shared" si="51"/>
        <v>0</v>
      </c>
      <c r="P118" s="30">
        <f t="shared" si="51"/>
        <v>0</v>
      </c>
      <c r="Q118" s="30">
        <f t="shared" si="51"/>
        <v>0</v>
      </c>
      <c r="R118" s="30">
        <f t="shared" si="51"/>
        <v>114429.1165427002</v>
      </c>
      <c r="S118" s="30">
        <f t="shared" si="51"/>
        <v>86706.262758077137</v>
      </c>
    </row>
    <row r="119" spans="1:19" s="39" customFormat="1" ht="29.25" customHeight="1">
      <c r="B119" s="40" t="s">
        <v>14</v>
      </c>
      <c r="C119" s="40" t="str">
        <f>+IFERROR(VLOOKUP($B119, 'Services to Beneficiaries'!$B$7:$C$17, 2, 0), " ")</f>
        <v>Protection    </v>
      </c>
      <c r="D119" s="40" t="s">
        <v>279</v>
      </c>
      <c r="E119" s="254" t="s">
        <v>280</v>
      </c>
      <c r="F119" s="255"/>
      <c r="G119" s="255"/>
      <c r="H119" s="255"/>
      <c r="I119" s="255"/>
      <c r="J119" s="255"/>
      <c r="K119" s="256"/>
      <c r="L119" s="43">
        <v>65606.434568119555</v>
      </c>
      <c r="M119" s="44">
        <v>65606.434568119555</v>
      </c>
      <c r="N119" s="44">
        <v>0</v>
      </c>
      <c r="O119" s="44">
        <v>0</v>
      </c>
      <c r="P119" s="44">
        <v>0</v>
      </c>
      <c r="Q119" s="44">
        <v>0</v>
      </c>
      <c r="R119" s="44">
        <v>43272.653542838932</v>
      </c>
      <c r="S119" s="44">
        <v>22333.781025280623</v>
      </c>
    </row>
    <row r="120" spans="1:19" s="39" customFormat="1" ht="21" customHeight="1">
      <c r="B120" s="40" t="s">
        <v>14</v>
      </c>
      <c r="C120" s="40" t="str">
        <f>+IFERROR(VLOOKUP($B120, 'Services to Beneficiaries'!$B$7:$C$17, 2, 0), " ")</f>
        <v>Protection    </v>
      </c>
      <c r="D120" s="40" t="s">
        <v>281</v>
      </c>
      <c r="E120" s="254" t="s">
        <v>282</v>
      </c>
      <c r="F120" s="255"/>
      <c r="G120" s="255"/>
      <c r="H120" s="255"/>
      <c r="I120" s="255"/>
      <c r="J120" s="255"/>
      <c r="K120" s="256"/>
      <c r="L120" s="43">
        <v>56160.937378517192</v>
      </c>
      <c r="M120" s="44">
        <v>56160.937378517192</v>
      </c>
      <c r="N120" s="44">
        <v>0</v>
      </c>
      <c r="O120" s="44">
        <v>0</v>
      </c>
      <c r="P120" s="44">
        <v>0</v>
      </c>
      <c r="Q120" s="44">
        <v>0</v>
      </c>
      <c r="R120" s="44">
        <v>28080.468689258596</v>
      </c>
      <c r="S120" s="44">
        <v>28080.468689258596</v>
      </c>
    </row>
    <row r="121" spans="1:19" s="39" customFormat="1" ht="32.25" customHeight="1">
      <c r="B121" s="40" t="s">
        <v>24</v>
      </c>
      <c r="C121" s="40" t="str">
        <f>+IFERROR(VLOOKUP($B121, 'Services to Beneficiaries'!$B$7:$C$17, 2, 0), " ")</f>
        <v xml:space="preserve">Capacity building related goods and services                                 </v>
      </c>
      <c r="D121" s="40" t="s">
        <v>283</v>
      </c>
      <c r="E121" s="254" t="s">
        <v>284</v>
      </c>
      <c r="F121" s="255"/>
      <c r="G121" s="255"/>
      <c r="H121" s="255"/>
      <c r="I121" s="255"/>
      <c r="J121" s="255"/>
      <c r="K121" s="256"/>
      <c r="L121" s="43">
        <v>41103.304027550585</v>
      </c>
      <c r="M121" s="44">
        <v>41103.304027550585</v>
      </c>
      <c r="N121" s="44">
        <v>0</v>
      </c>
      <c r="O121" s="44">
        <v>0</v>
      </c>
      <c r="P121" s="44">
        <v>0</v>
      </c>
      <c r="Q121" s="44">
        <v>0</v>
      </c>
      <c r="R121" s="44">
        <v>23943.642647307672</v>
      </c>
      <c r="S121" s="44">
        <v>17159.661380242913</v>
      </c>
    </row>
    <row r="122" spans="1:19" s="39" customFormat="1" ht="27.75" customHeight="1">
      <c r="B122" s="40" t="s">
        <v>14</v>
      </c>
      <c r="C122" s="40" t="str">
        <f>+IFERROR(VLOOKUP($B122, 'Services to Beneficiaries'!$B$7:$C$17, 2, 0), " ")</f>
        <v>Protection    </v>
      </c>
      <c r="D122" s="40" t="s">
        <v>285</v>
      </c>
      <c r="E122" s="254" t="s">
        <v>408</v>
      </c>
      <c r="F122" s="255"/>
      <c r="G122" s="255"/>
      <c r="H122" s="255"/>
      <c r="I122" s="255"/>
      <c r="J122" s="255"/>
      <c r="K122" s="256"/>
      <c r="L122" s="43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</row>
    <row r="123" spans="1:19" s="39" customFormat="1" ht="26.25" customHeight="1">
      <c r="B123" s="40" t="s">
        <v>14</v>
      </c>
      <c r="C123" s="40" t="str">
        <f>+IFERROR(VLOOKUP($B123, 'Services to Beneficiaries'!$B$7:$C$17, 2, 0), " ")</f>
        <v>Protection    </v>
      </c>
      <c r="D123" s="40" t="s">
        <v>287</v>
      </c>
      <c r="E123" s="254" t="s">
        <v>409</v>
      </c>
      <c r="F123" s="255"/>
      <c r="G123" s="255"/>
      <c r="H123" s="255"/>
      <c r="I123" s="255"/>
      <c r="J123" s="255"/>
      <c r="K123" s="256"/>
      <c r="L123" s="43">
        <v>38264.703326590003</v>
      </c>
      <c r="M123" s="44">
        <v>38264.703326590003</v>
      </c>
      <c r="N123" s="44">
        <v>0</v>
      </c>
      <c r="O123" s="44">
        <v>0</v>
      </c>
      <c r="P123" s="44">
        <v>0</v>
      </c>
      <c r="Q123" s="44">
        <v>0</v>
      </c>
      <c r="R123" s="44">
        <v>19132.351663295001</v>
      </c>
      <c r="S123" s="44">
        <v>19132.351663295001</v>
      </c>
    </row>
    <row r="124" spans="1:19" s="10" customFormat="1" ht="36.6" customHeight="1">
      <c r="A124" s="9"/>
      <c r="B124" s="24"/>
      <c r="C124" s="24"/>
      <c r="D124" s="24" t="s">
        <v>50</v>
      </c>
      <c r="E124" s="269" t="s">
        <v>289</v>
      </c>
      <c r="F124" s="270"/>
      <c r="G124" s="270"/>
      <c r="H124" s="270"/>
      <c r="I124" s="270"/>
      <c r="J124" s="270"/>
      <c r="K124" s="271"/>
      <c r="L124" s="57">
        <f>+SUM(L125, L126, L127, L128)</f>
        <v>215965.6837262199</v>
      </c>
      <c r="M124" s="57">
        <f t="shared" ref="M124:S124" si="52">+SUM(M125, M126, M127, M128)</f>
        <v>0</v>
      </c>
      <c r="N124" s="57">
        <f t="shared" si="52"/>
        <v>215965.6837262199</v>
      </c>
      <c r="O124" s="57">
        <f t="shared" si="52"/>
        <v>0</v>
      </c>
      <c r="P124" s="57">
        <f t="shared" si="52"/>
        <v>0</v>
      </c>
      <c r="Q124" s="57">
        <f t="shared" si="52"/>
        <v>0</v>
      </c>
      <c r="R124" s="57">
        <f t="shared" si="52"/>
        <v>109774.11781564952</v>
      </c>
      <c r="S124" s="57">
        <f t="shared" si="52"/>
        <v>106191.56591057037</v>
      </c>
    </row>
    <row r="125" spans="1:19" s="39" customFormat="1" ht="24.6" customHeight="1">
      <c r="B125" s="40" t="s">
        <v>22</v>
      </c>
      <c r="C125" s="40" t="str">
        <f>+IFERROR(VLOOKUP($B125, 'Services to Beneficiaries'!$B$7:$C$17, 2, 0), " ")</f>
        <v xml:space="preserve">Planification, follow up and evaluation workshops related goods and services                                        </v>
      </c>
      <c r="D125" s="40" t="s">
        <v>290</v>
      </c>
      <c r="E125" s="254" t="s">
        <v>291</v>
      </c>
      <c r="F125" s="255"/>
      <c r="G125" s="255"/>
      <c r="H125" s="255"/>
      <c r="I125" s="255"/>
      <c r="J125" s="255"/>
      <c r="K125" s="256"/>
      <c r="L125" s="43">
        <v>609.79606894964149</v>
      </c>
      <c r="M125" s="44">
        <v>0</v>
      </c>
      <c r="N125" s="44">
        <v>609.79606894964149</v>
      </c>
      <c r="O125" s="44">
        <v>0</v>
      </c>
      <c r="P125" s="44">
        <v>0</v>
      </c>
      <c r="Q125" s="44">
        <v>0</v>
      </c>
      <c r="R125" s="44">
        <v>304.89803447482075</v>
      </c>
      <c r="S125" s="44">
        <v>304.89803447482075</v>
      </c>
    </row>
    <row r="126" spans="1:19" s="39" customFormat="1" ht="25.2" customHeight="1">
      <c r="B126" s="40" t="s">
        <v>14</v>
      </c>
      <c r="C126" s="40" t="str">
        <f>+IFERROR(VLOOKUP($B126, 'Services to Beneficiaries'!$B$7:$C$17, 2, 0), " ")</f>
        <v>Protection    </v>
      </c>
      <c r="D126" s="40" t="s">
        <v>292</v>
      </c>
      <c r="E126" s="254" t="s">
        <v>293</v>
      </c>
      <c r="F126" s="255"/>
      <c r="G126" s="255"/>
      <c r="H126" s="255"/>
      <c r="I126" s="255"/>
      <c r="J126" s="255"/>
      <c r="K126" s="256"/>
      <c r="L126" s="43">
        <v>181893.32837365865</v>
      </c>
      <c r="M126" s="44">
        <v>0</v>
      </c>
      <c r="N126" s="44">
        <v>181893.32837365865</v>
      </c>
      <c r="O126" s="44">
        <v>0</v>
      </c>
      <c r="P126" s="44">
        <v>0</v>
      </c>
      <c r="Q126" s="44">
        <v>0</v>
      </c>
      <c r="R126" s="44">
        <v>90946.664186829323</v>
      </c>
      <c r="S126" s="44">
        <v>90946.664186829323</v>
      </c>
    </row>
    <row r="127" spans="1:19" s="39" customFormat="1" ht="29.25" customHeight="1">
      <c r="B127" s="40" t="s">
        <v>20</v>
      </c>
      <c r="C127" s="40" t="str">
        <f>+IFERROR(VLOOKUP($B127,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27" s="40" t="s">
        <v>294</v>
      </c>
      <c r="E127" s="254" t="s">
        <v>295</v>
      </c>
      <c r="F127" s="255"/>
      <c r="G127" s="255"/>
      <c r="H127" s="255"/>
      <c r="I127" s="255"/>
      <c r="J127" s="255"/>
      <c r="K127" s="256"/>
      <c r="L127" s="43">
        <v>25230.312352791421</v>
      </c>
      <c r="M127" s="44">
        <v>0</v>
      </c>
      <c r="N127" s="44">
        <v>25230.312352791421</v>
      </c>
      <c r="O127" s="44">
        <v>0</v>
      </c>
      <c r="P127" s="44">
        <v>0</v>
      </c>
      <c r="Q127" s="44">
        <v>0</v>
      </c>
      <c r="R127" s="44">
        <v>14406.432128935281</v>
      </c>
      <c r="S127" s="44">
        <v>10823.880223856137</v>
      </c>
    </row>
    <row r="128" spans="1:19" s="39" customFormat="1">
      <c r="B128" s="40" t="s">
        <v>14</v>
      </c>
      <c r="C128" s="40" t="str">
        <f>+IFERROR(VLOOKUP($B128, 'Services to Beneficiaries'!$B$7:$C$17, 2, 0), " ")</f>
        <v>Protection    </v>
      </c>
      <c r="D128" s="40" t="s">
        <v>296</v>
      </c>
      <c r="E128" s="254" t="s">
        <v>297</v>
      </c>
      <c r="F128" s="255"/>
      <c r="G128" s="255"/>
      <c r="H128" s="255"/>
      <c r="I128" s="255"/>
      <c r="J128" s="255"/>
      <c r="K128" s="256"/>
      <c r="L128" s="43">
        <v>8232.2469308201598</v>
      </c>
      <c r="M128" s="44">
        <v>0</v>
      </c>
      <c r="N128" s="44">
        <v>8232.2469308201598</v>
      </c>
      <c r="O128" s="44">
        <v>0</v>
      </c>
      <c r="P128" s="44">
        <v>0</v>
      </c>
      <c r="Q128" s="44">
        <v>0</v>
      </c>
      <c r="R128" s="44">
        <v>4116.1234654100799</v>
      </c>
      <c r="S128" s="44">
        <v>4116.1234654100799</v>
      </c>
    </row>
    <row r="129" spans="1:19" s="10" customFormat="1" ht="35.1" customHeight="1">
      <c r="A129" s="9"/>
      <c r="B129" s="24"/>
      <c r="C129" s="24"/>
      <c r="D129" s="24" t="s">
        <v>51</v>
      </c>
      <c r="E129" s="269" t="s">
        <v>298</v>
      </c>
      <c r="F129" s="270"/>
      <c r="G129" s="270"/>
      <c r="H129" s="270"/>
      <c r="I129" s="270"/>
      <c r="J129" s="270"/>
      <c r="K129" s="271"/>
      <c r="L129" s="57">
        <f>SUM(L130,L131,L132,L133,L134,L135)</f>
        <v>93509.702617702074</v>
      </c>
      <c r="M129" s="30">
        <f>SUM(M130,M131,M132,M133,M134)</f>
        <v>0</v>
      </c>
      <c r="N129" s="30">
        <f>SUM(N130,N131,N132,N133,N134)</f>
        <v>0</v>
      </c>
      <c r="O129" s="57">
        <f>SUM(O130,O131,O132,O133,O134,O135)</f>
        <v>93509.702617702074</v>
      </c>
      <c r="P129" s="30">
        <f>SUM(P130,P131,P132,P133,P134)</f>
        <v>0</v>
      </c>
      <c r="Q129" s="30">
        <f>SUM(Q130,Q131,Q132,Q133,Q134)</f>
        <v>0</v>
      </c>
      <c r="R129" s="30">
        <f>SUM(R130,R131,R132,R133,R134,R135)</f>
        <v>63261.26865023165</v>
      </c>
      <c r="S129" s="30">
        <f>SUM(S130,S131,S132,S133,S134,S135)</f>
        <v>30248.433967470428</v>
      </c>
    </row>
    <row r="130" spans="1:19" s="39" customFormat="1" ht="31.5" customHeight="1">
      <c r="B130" s="40" t="s">
        <v>22</v>
      </c>
      <c r="C130" s="40" t="str">
        <f>+IFERROR(VLOOKUP($B130, 'Services to Beneficiaries'!$B$7:$C$17, 2, 0), " ")</f>
        <v xml:space="preserve">Planification, follow up and evaluation workshops related goods and services                                        </v>
      </c>
      <c r="D130" s="40" t="s">
        <v>299</v>
      </c>
      <c r="E130" s="254" t="s">
        <v>300</v>
      </c>
      <c r="F130" s="255"/>
      <c r="G130" s="255"/>
      <c r="H130" s="255"/>
      <c r="I130" s="255"/>
      <c r="J130" s="255"/>
      <c r="K130" s="256"/>
      <c r="L130" s="43">
        <v>7835.8794860028938</v>
      </c>
      <c r="M130" s="44">
        <v>0</v>
      </c>
      <c r="N130" s="44">
        <v>0</v>
      </c>
      <c r="O130" s="44">
        <v>7835.8794860028938</v>
      </c>
      <c r="P130" s="44">
        <v>0</v>
      </c>
      <c r="Q130" s="44">
        <v>0</v>
      </c>
      <c r="R130" s="44">
        <v>7835.8794860028938</v>
      </c>
      <c r="S130" s="44">
        <v>0</v>
      </c>
    </row>
    <row r="131" spans="1:19" s="39" customFormat="1" ht="24" customHeight="1">
      <c r="B131" s="40" t="s">
        <v>14</v>
      </c>
      <c r="C131" s="40" t="str">
        <f>+IFERROR(VLOOKUP($B131, 'Services to Beneficiaries'!$B$7:$C$17, 2, 0), " ")</f>
        <v>Protection    </v>
      </c>
      <c r="D131" s="40" t="s">
        <v>301</v>
      </c>
      <c r="E131" s="254" t="s">
        <v>302</v>
      </c>
      <c r="F131" s="255"/>
      <c r="G131" s="255"/>
      <c r="H131" s="255"/>
      <c r="I131" s="255"/>
      <c r="J131" s="255"/>
      <c r="K131" s="256"/>
      <c r="L131" s="43">
        <v>9558.55338078563</v>
      </c>
      <c r="M131" s="44">
        <v>0</v>
      </c>
      <c r="N131" s="44">
        <v>0</v>
      </c>
      <c r="O131" s="44">
        <v>9558.55338078563</v>
      </c>
      <c r="P131" s="44">
        <v>0</v>
      </c>
      <c r="Q131" s="44">
        <v>0</v>
      </c>
      <c r="R131" s="44">
        <v>9558.55338078563</v>
      </c>
      <c r="S131" s="44">
        <v>0</v>
      </c>
    </row>
    <row r="132" spans="1:19" s="39" customFormat="1" ht="32.25" customHeight="1">
      <c r="B132" s="40" t="s">
        <v>14</v>
      </c>
      <c r="C132" s="40" t="str">
        <f>+IFERROR(VLOOKUP($B132, 'Services to Beneficiaries'!$B$7:$C$17, 2, 0), " ")</f>
        <v>Protection    </v>
      </c>
      <c r="D132" s="40" t="s">
        <v>303</v>
      </c>
      <c r="E132" s="254" t="s">
        <v>410</v>
      </c>
      <c r="F132" s="255"/>
      <c r="G132" s="255"/>
      <c r="H132" s="255"/>
      <c r="I132" s="255"/>
      <c r="J132" s="255"/>
      <c r="K132" s="256"/>
      <c r="L132" s="43">
        <v>6678.7914451709485</v>
      </c>
      <c r="M132" s="44">
        <v>0</v>
      </c>
      <c r="N132" s="44">
        <v>0</v>
      </c>
      <c r="O132" s="44">
        <v>6678.7914451709485</v>
      </c>
      <c r="P132" s="44">
        <v>0</v>
      </c>
      <c r="Q132" s="44">
        <v>0</v>
      </c>
      <c r="R132" s="44">
        <v>6308.3403332840408</v>
      </c>
      <c r="S132" s="44">
        <v>370.4511118869072</v>
      </c>
    </row>
    <row r="133" spans="1:19" s="39" customFormat="1" ht="29.25" customHeight="1">
      <c r="B133" s="40" t="s">
        <v>24</v>
      </c>
      <c r="C133" s="40" t="str">
        <f>+IFERROR(VLOOKUP($B133, 'Services to Beneficiaries'!$B$7:$C$17, 2, 0), " ")</f>
        <v xml:space="preserve">Capacity building related goods and services                                 </v>
      </c>
      <c r="D133" s="40" t="s">
        <v>305</v>
      </c>
      <c r="E133" s="254" t="s">
        <v>306</v>
      </c>
      <c r="F133" s="255"/>
      <c r="G133" s="255"/>
      <c r="H133" s="255"/>
      <c r="I133" s="255"/>
      <c r="J133" s="255"/>
      <c r="K133" s="256"/>
      <c r="L133" s="43">
        <v>4573.4705171223113</v>
      </c>
      <c r="M133" s="44">
        <v>0</v>
      </c>
      <c r="N133" s="44">
        <v>0</v>
      </c>
      <c r="O133" s="44">
        <v>4573.4705171223113</v>
      </c>
      <c r="P133" s="44">
        <v>0</v>
      </c>
      <c r="Q133" s="44">
        <v>0</v>
      </c>
      <c r="R133" s="44">
        <v>2286.7352585611557</v>
      </c>
      <c r="S133" s="44">
        <v>2286.7352585611557</v>
      </c>
    </row>
    <row r="134" spans="1:19" s="39" customFormat="1" ht="33.75" customHeight="1">
      <c r="B134" s="40" t="s">
        <v>20</v>
      </c>
      <c r="C134" s="40" t="str">
        <f>+IFERROR(VLOOKUP($B134,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34" s="40" t="s">
        <v>307</v>
      </c>
      <c r="E134" s="254" t="s">
        <v>308</v>
      </c>
      <c r="F134" s="255"/>
      <c r="G134" s="255"/>
      <c r="H134" s="255"/>
      <c r="I134" s="255"/>
      <c r="J134" s="255"/>
      <c r="K134" s="256"/>
      <c r="L134" s="43">
        <v>43856.533278858216</v>
      </c>
      <c r="M134" s="44">
        <v>0</v>
      </c>
      <c r="N134" s="44">
        <v>0</v>
      </c>
      <c r="O134" s="44">
        <v>43856.533278858216</v>
      </c>
      <c r="P134" s="44">
        <v>0</v>
      </c>
      <c r="Q134" s="44">
        <v>0</v>
      </c>
      <c r="R134" s="44">
        <v>21928.266639429108</v>
      </c>
      <c r="S134" s="44">
        <v>21928.266639429108</v>
      </c>
    </row>
    <row r="135" spans="1:19" s="39" customFormat="1" ht="25.5" customHeight="1">
      <c r="B135" s="40" t="s">
        <v>24</v>
      </c>
      <c r="C135" s="40" t="str">
        <f>+IFERROR(VLOOKUP($B135, 'Services to Beneficiaries'!$B$7:$C$17, 2, 0), " ")</f>
        <v xml:space="preserve">Capacity building related goods and services                                 </v>
      </c>
      <c r="D135" s="40" t="s">
        <v>309</v>
      </c>
      <c r="E135" s="254" t="s">
        <v>310</v>
      </c>
      <c r="F135" s="255"/>
      <c r="G135" s="255"/>
      <c r="H135" s="255"/>
      <c r="I135" s="255"/>
      <c r="J135" s="255"/>
      <c r="K135" s="256"/>
      <c r="L135" s="43">
        <v>21006.474509762073</v>
      </c>
      <c r="M135" s="44">
        <v>0</v>
      </c>
      <c r="N135" s="44">
        <v>0</v>
      </c>
      <c r="O135" s="44">
        <v>21006.474509762073</v>
      </c>
      <c r="P135" s="44">
        <v>0</v>
      </c>
      <c r="Q135" s="44">
        <v>0</v>
      </c>
      <c r="R135" s="44">
        <v>15343.493552168817</v>
      </c>
      <c r="S135" s="44">
        <v>5662.9809575932568</v>
      </c>
    </row>
    <row r="136" spans="1:19" s="10" customFormat="1" ht="35.1" customHeight="1">
      <c r="A136" s="9"/>
      <c r="B136" s="24"/>
      <c r="C136" s="24"/>
      <c r="D136" s="24" t="s">
        <v>52</v>
      </c>
      <c r="E136" s="269" t="s">
        <v>411</v>
      </c>
      <c r="F136" s="270"/>
      <c r="G136" s="270"/>
      <c r="H136" s="270"/>
      <c r="I136" s="270"/>
      <c r="J136" s="270"/>
      <c r="K136" s="271"/>
      <c r="L136" s="57">
        <f>SUM(L137,L138,L139)</f>
        <v>12011.458068135564</v>
      </c>
      <c r="M136" s="57">
        <f t="shared" ref="M136:S136" si="53">SUM(M137,M138,M139)</f>
        <v>0</v>
      </c>
      <c r="N136" s="57">
        <f t="shared" si="53"/>
        <v>0</v>
      </c>
      <c r="O136" s="57">
        <f t="shared" si="53"/>
        <v>0</v>
      </c>
      <c r="P136" s="57">
        <f t="shared" si="53"/>
        <v>12011.458068135564</v>
      </c>
      <c r="Q136" s="57">
        <f t="shared" si="53"/>
        <v>0</v>
      </c>
      <c r="R136" s="57">
        <f t="shared" si="53"/>
        <v>8322.1918509902316</v>
      </c>
      <c r="S136" s="57">
        <f t="shared" si="53"/>
        <v>3689.2662171453312</v>
      </c>
    </row>
    <row r="137" spans="1:19" s="39" customFormat="1">
      <c r="B137" s="40"/>
      <c r="C137" s="40" t="str">
        <f>+IFERROR(VLOOKUP($B137, 'Services to Beneficiaries'!$B$7:$C$17, 2, 0), " ")</f>
        <v xml:space="preserve"> </v>
      </c>
      <c r="D137" s="40" t="s">
        <v>312</v>
      </c>
      <c r="E137" s="254" t="s">
        <v>313</v>
      </c>
      <c r="F137" s="255"/>
      <c r="G137" s="255"/>
      <c r="H137" s="255"/>
      <c r="I137" s="255"/>
      <c r="J137" s="255"/>
      <c r="K137" s="256"/>
      <c r="L137" s="43">
        <v>4632.9256338449013</v>
      </c>
      <c r="M137" s="44">
        <v>0</v>
      </c>
      <c r="N137" s="44">
        <v>0</v>
      </c>
      <c r="O137" s="44">
        <v>0</v>
      </c>
      <c r="P137" s="44">
        <v>4632.9256338449013</v>
      </c>
      <c r="Q137" s="44">
        <v>0</v>
      </c>
      <c r="R137" s="44">
        <v>4632.9256338449013</v>
      </c>
      <c r="S137" s="44">
        <v>0</v>
      </c>
    </row>
    <row r="138" spans="1:19" s="39" customFormat="1">
      <c r="B138" s="40"/>
      <c r="C138" s="40" t="str">
        <f>+IFERROR(VLOOKUP($B138, 'Services to Beneficiaries'!$B$7:$C$17, 2, 0), " ")</f>
        <v xml:space="preserve"> </v>
      </c>
      <c r="D138" s="40" t="s">
        <v>314</v>
      </c>
      <c r="E138" s="254" t="s">
        <v>315</v>
      </c>
      <c r="F138" s="255"/>
      <c r="G138" s="255"/>
      <c r="H138" s="255"/>
      <c r="I138" s="255"/>
      <c r="J138" s="255"/>
      <c r="K138" s="256"/>
      <c r="L138" s="43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</row>
    <row r="139" spans="1:19" s="39" customFormat="1">
      <c r="B139" s="40"/>
      <c r="C139" s="40" t="str">
        <f>+IFERROR(VLOOKUP($B139, 'Services to Beneficiaries'!$B$7:$C$17, 2, 0), " ")</f>
        <v xml:space="preserve"> </v>
      </c>
      <c r="D139" s="40" t="s">
        <v>316</v>
      </c>
      <c r="E139" s="254" t="s">
        <v>317</v>
      </c>
      <c r="F139" s="255"/>
      <c r="G139" s="255"/>
      <c r="H139" s="255"/>
      <c r="I139" s="255"/>
      <c r="J139" s="255"/>
      <c r="K139" s="256"/>
      <c r="L139" s="43">
        <v>7378.5324342906624</v>
      </c>
      <c r="M139" s="44">
        <v>0</v>
      </c>
      <c r="N139" s="44">
        <v>0</v>
      </c>
      <c r="O139" s="44">
        <v>0</v>
      </c>
      <c r="P139" s="44">
        <v>7378.5324342906624</v>
      </c>
      <c r="Q139" s="44">
        <v>0</v>
      </c>
      <c r="R139" s="44">
        <v>3689.2662171453312</v>
      </c>
      <c r="S139" s="44">
        <v>3689.2662171453312</v>
      </c>
    </row>
    <row r="140" spans="1:19" s="10" customFormat="1" ht="35.1" customHeight="1">
      <c r="A140" s="9"/>
      <c r="B140" s="24"/>
      <c r="C140" s="24"/>
      <c r="D140" s="24" t="s">
        <v>53</v>
      </c>
      <c r="E140" s="269" t="s">
        <v>320</v>
      </c>
      <c r="F140" s="270"/>
      <c r="G140" s="270"/>
      <c r="H140" s="270"/>
      <c r="I140" s="270"/>
      <c r="J140" s="270"/>
      <c r="K140" s="271"/>
      <c r="L140" s="30">
        <f>SUM(L141,L142)</f>
        <v>59950</v>
      </c>
      <c r="M140" s="30">
        <f t="shared" ref="M140:S140" si="54">SUM(M141,M142)</f>
        <v>0</v>
      </c>
      <c r="N140" s="30">
        <f t="shared" si="54"/>
        <v>0</v>
      </c>
      <c r="O140" s="30">
        <f t="shared" si="54"/>
        <v>0</v>
      </c>
      <c r="P140" s="30">
        <f t="shared" si="54"/>
        <v>0</v>
      </c>
      <c r="Q140" s="30">
        <f t="shared" si="54"/>
        <v>59950</v>
      </c>
      <c r="R140" s="30">
        <f t="shared" si="54"/>
        <v>0</v>
      </c>
      <c r="S140" s="30">
        <f t="shared" si="54"/>
        <v>59950</v>
      </c>
    </row>
    <row r="141" spans="1:19" s="39" customFormat="1">
      <c r="B141" s="40" t="s">
        <v>28</v>
      </c>
      <c r="C141" s="40" t="str">
        <f>+IFERROR(VLOOKUP($B141, 'Services to Beneficiaries'!$B$7:$C$17, 2, 0), " ")</f>
        <v>Crisis Modifier</v>
      </c>
      <c r="D141" s="40" t="s">
        <v>321</v>
      </c>
      <c r="E141" s="254" t="s">
        <v>322</v>
      </c>
      <c r="F141" s="255"/>
      <c r="G141" s="255"/>
      <c r="H141" s="255"/>
      <c r="I141" s="255"/>
      <c r="J141" s="255"/>
      <c r="K141" s="256"/>
      <c r="L141" s="43">
        <v>7378.5324342906624</v>
      </c>
      <c r="M141" s="44">
        <v>0</v>
      </c>
      <c r="N141" s="44">
        <v>0</v>
      </c>
      <c r="O141" s="44">
        <v>0</v>
      </c>
      <c r="P141" s="44">
        <v>0</v>
      </c>
      <c r="Q141" s="44">
        <v>7378.5324342906624</v>
      </c>
      <c r="R141" s="44">
        <v>0</v>
      </c>
      <c r="S141" s="44">
        <v>7378.5324342906624</v>
      </c>
    </row>
    <row r="142" spans="1:19" s="39" customFormat="1">
      <c r="B142" s="40" t="s">
        <v>28</v>
      </c>
      <c r="C142" s="40" t="str">
        <f>+IFERROR(VLOOKUP($B142, 'Services to Beneficiaries'!$B$7:$C$17, 2, 0), " ")</f>
        <v>Crisis Modifier</v>
      </c>
      <c r="D142" s="40" t="s">
        <v>323</v>
      </c>
      <c r="E142" s="254" t="s">
        <v>324</v>
      </c>
      <c r="F142" s="255"/>
      <c r="G142" s="255"/>
      <c r="H142" s="255"/>
      <c r="I142" s="255"/>
      <c r="J142" s="255"/>
      <c r="K142" s="256"/>
      <c r="L142" s="43">
        <v>52571.467565709339</v>
      </c>
      <c r="M142" s="44">
        <v>0</v>
      </c>
      <c r="N142" s="44">
        <v>0</v>
      </c>
      <c r="O142" s="44">
        <v>0</v>
      </c>
      <c r="P142" s="44">
        <v>0</v>
      </c>
      <c r="Q142" s="44">
        <v>52571.467565709339</v>
      </c>
      <c r="R142" s="44">
        <v>0</v>
      </c>
      <c r="S142" s="44">
        <v>52571.467565709339</v>
      </c>
    </row>
    <row r="143" spans="1:19" s="5" customFormat="1" ht="15.6">
      <c r="B143" s="58"/>
      <c r="C143" s="58"/>
      <c r="D143" s="58"/>
      <c r="E143" s="60" t="s">
        <v>325</v>
      </c>
      <c r="F143" s="59"/>
      <c r="G143" s="59"/>
      <c r="H143" s="59"/>
      <c r="I143" s="59"/>
      <c r="J143" s="61"/>
      <c r="K143" s="62"/>
      <c r="L143" s="63">
        <v>62428.910074302359</v>
      </c>
      <c r="M143" s="64">
        <f>17155.5428872019+0.01</f>
        <v>17155.552887201899</v>
      </c>
      <c r="N143" s="64">
        <v>17971.208138561498</v>
      </c>
      <c r="O143" s="64">
        <v>11236.141497581801</v>
      </c>
      <c r="P143" s="64">
        <v>6753.7462466893003</v>
      </c>
      <c r="Q143" s="64">
        <v>9390.3612299655397</v>
      </c>
      <c r="R143" s="64">
        <f>$L$143/2</f>
        <v>31214.45503715118</v>
      </c>
      <c r="S143" s="64">
        <f>$L$143/2</f>
        <v>31214.45503715118</v>
      </c>
    </row>
    <row r="144" spans="1:19" s="5" customFormat="1" ht="34.65" customHeight="1">
      <c r="B144" s="6"/>
      <c r="C144" s="6"/>
      <c r="D144" s="6"/>
      <c r="E144" s="20" t="s">
        <v>412</v>
      </c>
      <c r="F144" s="7"/>
      <c r="G144" s="7"/>
      <c r="H144" s="7"/>
      <c r="I144" s="7"/>
      <c r="J144" s="21"/>
      <c r="K144" s="22"/>
      <c r="L144" s="23">
        <f>SUM(L107,L110,L78,L36,L21,L143)</f>
        <v>1197500.0023343451</v>
      </c>
      <c r="M144" s="8">
        <f t="shared" ref="M144:S144" si="55">SUM(M107,M110,M78,M36,M21,M143)</f>
        <v>328790.70589742082</v>
      </c>
      <c r="N144" s="8">
        <f t="shared" si="55"/>
        <v>344436.66557422298</v>
      </c>
      <c r="O144" s="8">
        <f t="shared" si="55"/>
        <v>215245.61782472546</v>
      </c>
      <c r="P144" s="8">
        <f t="shared" si="55"/>
        <v>129264.97802426646</v>
      </c>
      <c r="Q144" s="8">
        <f t="shared" si="55"/>
        <v>179840.13493940714</v>
      </c>
      <c r="R144" s="8">
        <f t="shared" si="55"/>
        <v>632848.94215368468</v>
      </c>
      <c r="S144" s="8">
        <f t="shared" si="55"/>
        <v>564651.06018066034</v>
      </c>
    </row>
    <row r="145" spans="12:19">
      <c r="L145" s="14"/>
      <c r="M145" s="14"/>
      <c r="N145" s="14"/>
      <c r="O145" s="14"/>
      <c r="P145" s="14"/>
      <c r="Q145" s="14"/>
      <c r="R145" s="14"/>
      <c r="S145" s="14"/>
    </row>
    <row r="146" spans="12:19">
      <c r="L146" s="14"/>
      <c r="M146" s="14"/>
      <c r="N146" s="14"/>
      <c r="O146" s="14"/>
      <c r="P146" s="14"/>
      <c r="Q146" s="14"/>
      <c r="R146" s="14"/>
      <c r="S146" s="14"/>
    </row>
    <row r="147" spans="12:19">
      <c r="L147" s="14"/>
      <c r="M147" s="14"/>
      <c r="N147" s="14"/>
      <c r="O147" s="14"/>
      <c r="P147" s="14"/>
      <c r="Q147" s="14"/>
      <c r="R147" s="66"/>
      <c r="S147" s="14"/>
    </row>
    <row r="148" spans="12:19" ht="14.4" hidden="1" customHeight="1">
      <c r="L148" s="14"/>
      <c r="M148" s="14"/>
      <c r="N148" s="14"/>
      <c r="O148" s="14"/>
      <c r="P148" s="14"/>
      <c r="Q148" s="14"/>
      <c r="R148" s="14"/>
      <c r="S148" s="14"/>
    </row>
    <row r="149" spans="12:19" ht="14.4" hidden="1" customHeight="1">
      <c r="L149" s="14"/>
      <c r="M149" s="14"/>
      <c r="N149" s="14"/>
      <c r="O149" s="14"/>
      <c r="P149" s="14"/>
      <c r="Q149" s="14"/>
      <c r="R149" s="14"/>
      <c r="S149" s="14"/>
    </row>
    <row r="150" spans="12:19" ht="13.2" hidden="1" customHeight="1">
      <c r="L150" s="14"/>
      <c r="M150" s="14"/>
      <c r="N150" s="14"/>
      <c r="O150" s="14"/>
      <c r="P150" s="14"/>
      <c r="Q150" s="14"/>
      <c r="R150" s="14"/>
      <c r="S150" s="14"/>
    </row>
    <row r="151" spans="12:19">
      <c r="L151" s="14"/>
      <c r="M151" s="14"/>
      <c r="N151" s="14"/>
      <c r="O151" s="14"/>
      <c r="P151" s="14"/>
      <c r="Q151" s="14"/>
      <c r="R151" s="66"/>
      <c r="S151" s="66"/>
    </row>
    <row r="152" spans="12:19">
      <c r="L152" s="14"/>
      <c r="M152" s="14"/>
      <c r="N152" s="14"/>
      <c r="O152" s="14"/>
      <c r="P152" s="14"/>
      <c r="Q152" s="14"/>
      <c r="R152" s="14"/>
      <c r="S152" s="14"/>
    </row>
    <row r="153" spans="12:19">
      <c r="L153" s="14"/>
      <c r="M153" s="14"/>
      <c r="N153" s="14"/>
      <c r="O153" s="14"/>
      <c r="P153" s="14"/>
      <c r="Q153" s="14"/>
      <c r="R153" s="14"/>
      <c r="S153" s="14"/>
    </row>
    <row r="154" spans="12:19" ht="15.6" customHeight="1">
      <c r="M154" s="14"/>
      <c r="N154" s="14"/>
      <c r="O154" s="14"/>
      <c r="P154" s="14"/>
      <c r="Q154" s="14"/>
      <c r="R154" s="14"/>
      <c r="S154" s="14"/>
    </row>
    <row r="155" spans="12:19">
      <c r="L155" s="14"/>
      <c r="M155" s="14"/>
      <c r="N155" s="14"/>
      <c r="O155" s="14"/>
      <c r="P155" s="14"/>
      <c r="Q155" s="14"/>
      <c r="R155" s="14"/>
      <c r="S155" s="14"/>
    </row>
    <row r="156" spans="12:19">
      <c r="L156" s="14"/>
      <c r="M156" s="14"/>
      <c r="N156" s="14"/>
      <c r="O156" s="14"/>
      <c r="P156" s="14"/>
      <c r="Q156" s="14"/>
      <c r="R156" s="14"/>
      <c r="S156" s="14"/>
    </row>
    <row r="157" spans="12:19">
      <c r="L157" s="14"/>
      <c r="M157" s="14"/>
      <c r="N157" s="14"/>
      <c r="O157" s="14"/>
      <c r="P157" s="14"/>
      <c r="Q157" s="14"/>
      <c r="R157" s="14"/>
      <c r="S157" s="14"/>
    </row>
    <row r="158" spans="12:19">
      <c r="L158" s="14"/>
      <c r="M158" s="14"/>
      <c r="N158" s="14"/>
      <c r="O158" s="14"/>
      <c r="P158" s="14"/>
      <c r="Q158" s="14"/>
      <c r="R158" s="14"/>
      <c r="S158" s="14"/>
    </row>
    <row r="159" spans="12:19">
      <c r="L159" s="14"/>
      <c r="M159" s="14"/>
      <c r="N159" s="14"/>
      <c r="O159" s="14"/>
      <c r="P159" s="14"/>
      <c r="Q159" s="14"/>
      <c r="R159" s="14"/>
      <c r="S159" s="14"/>
    </row>
    <row r="160" spans="12:19">
      <c r="L160" s="14"/>
      <c r="M160" s="14"/>
      <c r="N160" s="14"/>
      <c r="O160" s="14"/>
      <c r="P160" s="14"/>
      <c r="Q160" s="14"/>
      <c r="R160" s="14"/>
      <c r="S160" s="14"/>
    </row>
    <row r="161" spans="12:19">
      <c r="L161" s="14"/>
      <c r="M161" s="14"/>
      <c r="N161" s="14"/>
      <c r="O161" s="14"/>
      <c r="P161" s="14"/>
      <c r="Q161" s="14"/>
      <c r="R161" s="14"/>
      <c r="S161" s="14"/>
    </row>
    <row r="162" spans="12:19">
      <c r="L162" s="14"/>
      <c r="M162" s="14"/>
      <c r="N162" s="14"/>
      <c r="O162" s="14"/>
      <c r="P162" s="14"/>
      <c r="Q162" s="14"/>
      <c r="R162" s="14"/>
      <c r="S162" s="14"/>
    </row>
    <row r="163" spans="12:19">
      <c r="L163" s="14"/>
      <c r="M163" s="14"/>
      <c r="N163" s="14"/>
      <c r="O163" s="14"/>
      <c r="P163" s="14"/>
      <c r="Q163" s="14"/>
      <c r="R163" s="14"/>
      <c r="S163" s="14"/>
    </row>
    <row r="164" spans="12:19">
      <c r="L164" s="14"/>
      <c r="M164" s="14"/>
      <c r="N164" s="14"/>
      <c r="O164" s="14"/>
      <c r="P164" s="14"/>
      <c r="Q164" s="14"/>
      <c r="R164" s="14"/>
      <c r="S164" s="14"/>
    </row>
    <row r="165" spans="12:19">
      <c r="L165" s="14"/>
      <c r="M165" s="14"/>
      <c r="N165" s="14"/>
      <c r="O165" s="14"/>
      <c r="P165" s="14"/>
      <c r="Q165" s="14"/>
      <c r="R165" s="14"/>
      <c r="S165" s="14"/>
    </row>
    <row r="166" spans="12:19">
      <c r="L166" s="14"/>
      <c r="M166" s="14"/>
      <c r="N166" s="14"/>
      <c r="O166" s="14"/>
      <c r="P166" s="14"/>
      <c r="Q166" s="14"/>
      <c r="R166" s="14"/>
      <c r="S166" s="14"/>
    </row>
    <row r="167" spans="12:19" ht="15" customHeight="1">
      <c r="L167" s="14"/>
      <c r="M167" s="14"/>
      <c r="N167" s="14"/>
      <c r="O167" s="14"/>
      <c r="P167" s="14"/>
      <c r="Q167" s="14"/>
      <c r="R167" s="14"/>
      <c r="S167" s="14"/>
    </row>
    <row r="168" spans="12:19" ht="15" customHeight="1">
      <c r="L168" s="14"/>
      <c r="M168" s="14"/>
      <c r="N168" s="14"/>
      <c r="O168" s="14"/>
      <c r="P168" s="14"/>
      <c r="Q168" s="14"/>
      <c r="R168" s="14"/>
      <c r="S168" s="14"/>
    </row>
    <row r="169" spans="12:19" ht="15" customHeight="1">
      <c r="L169" s="14"/>
      <c r="M169" s="14"/>
      <c r="N169" s="14"/>
      <c r="O169" s="14"/>
      <c r="P169" s="14"/>
      <c r="Q169" s="14"/>
      <c r="R169" s="14"/>
      <c r="S169" s="14"/>
    </row>
    <row r="170" spans="12:19" ht="15" customHeight="1">
      <c r="L170" s="14"/>
      <c r="M170" s="14"/>
      <c r="N170" s="14"/>
      <c r="O170" s="14"/>
      <c r="P170" s="14"/>
      <c r="Q170" s="14"/>
      <c r="R170" s="14"/>
      <c r="S170" s="14"/>
    </row>
    <row r="171" spans="12:19" ht="15" customHeight="1">
      <c r="L171" s="14"/>
      <c r="M171" s="14"/>
      <c r="N171" s="14"/>
      <c r="O171" s="14"/>
      <c r="P171" s="14"/>
      <c r="Q171" s="14"/>
      <c r="R171" s="14"/>
      <c r="S171" s="14"/>
    </row>
    <row r="172" spans="12:19" ht="15" customHeight="1">
      <c r="L172" s="14"/>
      <c r="M172" s="14"/>
      <c r="N172" s="14"/>
      <c r="O172" s="14"/>
      <c r="P172" s="14"/>
      <c r="Q172" s="14"/>
      <c r="R172" s="14"/>
      <c r="S172" s="14"/>
    </row>
    <row r="173" spans="12:19" ht="15" customHeight="1">
      <c r="L173" s="14"/>
      <c r="M173" s="14"/>
      <c r="N173" s="14"/>
      <c r="O173" s="14"/>
      <c r="P173" s="14"/>
      <c r="Q173" s="14"/>
      <c r="R173" s="14"/>
      <c r="S173" s="14"/>
    </row>
    <row r="174" spans="12:19" ht="15" customHeight="1">
      <c r="L174" s="14"/>
      <c r="M174" s="14"/>
      <c r="N174" s="14"/>
      <c r="O174" s="14"/>
      <c r="P174" s="14"/>
      <c r="Q174" s="14"/>
      <c r="R174" s="14"/>
      <c r="S174" s="14"/>
    </row>
    <row r="175" spans="12:19" ht="38.25" customHeight="1">
      <c r="L175" s="14"/>
      <c r="M175" s="14"/>
      <c r="N175" s="14"/>
      <c r="O175" s="14"/>
      <c r="P175" s="14"/>
      <c r="Q175" s="14"/>
      <c r="R175" s="14"/>
      <c r="S175" s="14"/>
    </row>
    <row r="176" spans="12:19" ht="15" customHeight="1">
      <c r="L176" s="14"/>
      <c r="M176" s="14"/>
      <c r="N176" s="14"/>
      <c r="O176" s="14"/>
      <c r="P176" s="14"/>
      <c r="Q176" s="14"/>
      <c r="R176" s="14"/>
      <c r="S176" s="14"/>
    </row>
    <row r="177" spans="12:19">
      <c r="L177" s="14"/>
      <c r="M177" s="14"/>
      <c r="N177" s="14"/>
      <c r="O177" s="14"/>
      <c r="P177" s="14"/>
      <c r="Q177" s="14"/>
      <c r="R177" s="14"/>
      <c r="S177" s="14"/>
    </row>
    <row r="178" spans="12:19">
      <c r="L178" s="14"/>
      <c r="M178" s="14"/>
      <c r="N178" s="14"/>
      <c r="O178" s="14"/>
      <c r="P178" s="14"/>
      <c r="Q178" s="14"/>
      <c r="R178" s="14"/>
      <c r="S178" s="14"/>
    </row>
    <row r="179" spans="12:19">
      <c r="L179" s="14"/>
      <c r="M179" s="14"/>
      <c r="N179" s="14"/>
      <c r="O179" s="14"/>
      <c r="P179" s="14"/>
      <c r="Q179" s="14"/>
      <c r="R179" s="14"/>
      <c r="S179" s="14"/>
    </row>
    <row r="180" spans="12:19">
      <c r="L180" s="14"/>
      <c r="M180" s="14"/>
      <c r="N180" s="14"/>
      <c r="O180" s="14"/>
      <c r="P180" s="14"/>
      <c r="Q180" s="14"/>
      <c r="R180" s="14"/>
      <c r="S180" s="14"/>
    </row>
    <row r="181" spans="12:19" ht="39" customHeight="1">
      <c r="L181" s="14"/>
      <c r="M181" s="14"/>
      <c r="N181" s="14"/>
      <c r="O181" s="14"/>
      <c r="P181" s="14"/>
      <c r="Q181" s="14"/>
      <c r="R181" s="14"/>
      <c r="S181" s="14"/>
    </row>
    <row r="182" spans="12:19">
      <c r="L182" s="14"/>
      <c r="M182" s="14"/>
      <c r="N182" s="14"/>
      <c r="O182" s="14"/>
      <c r="P182" s="14"/>
      <c r="Q182" s="14"/>
      <c r="R182" s="14"/>
      <c r="S182" s="14"/>
    </row>
    <row r="183" spans="12:19">
      <c r="L183" s="14"/>
      <c r="M183" s="14"/>
      <c r="N183" s="14"/>
      <c r="O183" s="14"/>
      <c r="P183" s="14"/>
      <c r="Q183" s="14"/>
      <c r="R183" s="14"/>
      <c r="S183" s="14"/>
    </row>
    <row r="184" spans="12:19">
      <c r="L184" s="14"/>
      <c r="M184" s="14"/>
      <c r="N184" s="14"/>
      <c r="O184" s="14"/>
      <c r="P184" s="14"/>
      <c r="Q184" s="14"/>
      <c r="R184" s="14"/>
      <c r="S184" s="14"/>
    </row>
    <row r="185" spans="12:19">
      <c r="L185" s="14"/>
      <c r="M185" s="14"/>
      <c r="N185" s="14"/>
      <c r="O185" s="14"/>
      <c r="P185" s="14"/>
      <c r="Q185" s="14"/>
      <c r="R185" s="14"/>
      <c r="S185" s="14"/>
    </row>
    <row r="186" spans="12:19">
      <c r="L186" s="14"/>
      <c r="M186" s="14"/>
      <c r="N186" s="14"/>
      <c r="O186" s="14"/>
      <c r="P186" s="14"/>
      <c r="Q186" s="14"/>
      <c r="R186" s="14"/>
      <c r="S186" s="14"/>
    </row>
    <row r="187" spans="12:19">
      <c r="L187" s="14"/>
      <c r="M187" s="14"/>
      <c r="N187" s="14"/>
      <c r="O187" s="14"/>
      <c r="P187" s="14"/>
      <c r="Q187" s="14"/>
      <c r="R187" s="14"/>
      <c r="S187" s="14"/>
    </row>
    <row r="188" spans="12:19">
      <c r="L188" s="14"/>
      <c r="M188" s="14"/>
      <c r="N188" s="14"/>
      <c r="O188" s="14"/>
      <c r="P188" s="14"/>
      <c r="Q188" s="14"/>
      <c r="R188" s="14"/>
      <c r="S188" s="14"/>
    </row>
    <row r="189" spans="12:19">
      <c r="L189" s="14"/>
      <c r="M189" s="14"/>
      <c r="N189" s="14"/>
      <c r="O189" s="14"/>
      <c r="P189" s="14"/>
      <c r="Q189" s="14"/>
      <c r="R189" s="14"/>
      <c r="S189" s="14"/>
    </row>
    <row r="190" spans="12:19">
      <c r="L190" s="14"/>
      <c r="M190" s="14"/>
      <c r="N190" s="14"/>
      <c r="O190" s="14"/>
      <c r="P190" s="14"/>
      <c r="Q190" s="14"/>
      <c r="R190" s="14"/>
      <c r="S190" s="14"/>
    </row>
    <row r="191" spans="12:19">
      <c r="L191" s="14"/>
      <c r="M191" s="14"/>
      <c r="N191" s="14"/>
      <c r="O191" s="14"/>
      <c r="P191" s="14"/>
      <c r="Q191" s="14"/>
      <c r="R191" s="14"/>
      <c r="S191" s="14"/>
    </row>
    <row r="192" spans="12:19">
      <c r="L192" s="14"/>
      <c r="M192" s="14"/>
      <c r="N192" s="14"/>
      <c r="O192" s="14"/>
      <c r="P192" s="14"/>
      <c r="Q192" s="14"/>
      <c r="R192" s="14"/>
      <c r="S192" s="14"/>
    </row>
    <row r="193" spans="12:19">
      <c r="L193" s="14"/>
      <c r="M193" s="14"/>
      <c r="N193" s="14"/>
      <c r="O193" s="14"/>
      <c r="P193" s="14"/>
      <c r="Q193" s="14"/>
      <c r="R193" s="14"/>
      <c r="S193" s="14"/>
    </row>
    <row r="194" spans="12:19">
      <c r="L194" s="14"/>
      <c r="M194" s="14"/>
      <c r="N194" s="14"/>
      <c r="O194" s="14"/>
      <c r="P194" s="14"/>
      <c r="Q194" s="14"/>
      <c r="R194" s="14"/>
      <c r="S194" s="14"/>
    </row>
    <row r="195" spans="12:19">
      <c r="L195" s="14"/>
      <c r="M195" s="14"/>
      <c r="N195" s="14"/>
      <c r="O195" s="14"/>
      <c r="P195" s="14"/>
      <c r="Q195" s="14"/>
      <c r="R195" s="14"/>
      <c r="S195" s="14"/>
    </row>
    <row r="196" spans="12:19">
      <c r="L196" s="14"/>
      <c r="M196" s="14"/>
      <c r="N196" s="14"/>
      <c r="O196" s="14"/>
      <c r="P196" s="14"/>
      <c r="Q196" s="14"/>
      <c r="R196" s="14"/>
      <c r="S196" s="14"/>
    </row>
    <row r="197" spans="12:19">
      <c r="L197" s="14"/>
      <c r="M197" s="14"/>
      <c r="N197" s="14"/>
      <c r="O197" s="14"/>
      <c r="P197" s="14"/>
      <c r="Q197" s="14"/>
      <c r="R197" s="14"/>
      <c r="S197" s="14"/>
    </row>
    <row r="198" spans="12:19">
      <c r="L198" s="14"/>
      <c r="M198" s="14"/>
      <c r="N198" s="14"/>
      <c r="O198" s="14"/>
      <c r="P198" s="14"/>
      <c r="Q198" s="14"/>
      <c r="R198" s="14"/>
      <c r="S198" s="14"/>
    </row>
    <row r="199" spans="12:19">
      <c r="L199" s="14"/>
      <c r="M199" s="14"/>
      <c r="N199" s="14"/>
      <c r="O199" s="14"/>
      <c r="P199" s="14"/>
      <c r="Q199" s="14"/>
      <c r="R199" s="14"/>
      <c r="S199" s="14"/>
    </row>
    <row r="200" spans="12:19">
      <c r="L200" s="14"/>
      <c r="M200" s="14"/>
      <c r="N200" s="14"/>
      <c r="O200" s="14"/>
      <c r="P200" s="14"/>
      <c r="Q200" s="14"/>
      <c r="R200" s="14"/>
      <c r="S200" s="14"/>
    </row>
    <row r="201" spans="12:19">
      <c r="L201" s="14"/>
      <c r="M201" s="14"/>
      <c r="N201" s="14"/>
      <c r="O201" s="14"/>
      <c r="P201" s="14"/>
      <c r="Q201" s="14"/>
      <c r="R201" s="14"/>
      <c r="S201" s="14"/>
    </row>
    <row r="202" spans="12:19">
      <c r="L202" s="14"/>
      <c r="M202" s="14"/>
      <c r="N202" s="14"/>
      <c r="O202" s="14"/>
      <c r="P202" s="14"/>
      <c r="Q202" s="14"/>
      <c r="R202" s="14"/>
      <c r="S202" s="14"/>
    </row>
    <row r="203" spans="12:19">
      <c r="L203" s="14"/>
      <c r="M203" s="14"/>
      <c r="N203" s="14"/>
      <c r="O203" s="14"/>
      <c r="P203" s="14"/>
      <c r="Q203" s="14"/>
      <c r="R203" s="14"/>
      <c r="S203" s="14"/>
    </row>
    <row r="204" spans="12:19">
      <c r="L204" s="14"/>
      <c r="M204" s="14"/>
      <c r="N204" s="14"/>
      <c r="O204" s="14"/>
      <c r="P204" s="14"/>
      <c r="Q204" s="14"/>
      <c r="R204" s="14"/>
      <c r="S204" s="14"/>
    </row>
    <row r="205" spans="12:19">
      <c r="L205" s="14"/>
      <c r="M205" s="14"/>
      <c r="N205" s="14"/>
      <c r="O205" s="14"/>
      <c r="P205" s="14"/>
      <c r="Q205" s="14"/>
      <c r="R205" s="14"/>
      <c r="S205" s="14"/>
    </row>
    <row r="206" spans="12:19">
      <c r="L206" s="14"/>
      <c r="M206" s="14"/>
      <c r="N206" s="14"/>
      <c r="O206" s="14"/>
      <c r="P206" s="14"/>
      <c r="Q206" s="14"/>
      <c r="R206" s="14"/>
      <c r="S206" s="14"/>
    </row>
    <row r="207" spans="12:19">
      <c r="L207" s="14"/>
      <c r="M207" s="14"/>
      <c r="N207" s="14"/>
      <c r="O207" s="14"/>
      <c r="P207" s="14"/>
      <c r="Q207" s="14"/>
      <c r="R207" s="14"/>
      <c r="S207" s="14"/>
    </row>
    <row r="208" spans="12:19">
      <c r="L208" s="14"/>
      <c r="M208" s="14"/>
      <c r="N208" s="14"/>
      <c r="O208" s="14"/>
      <c r="P208" s="14"/>
      <c r="Q208" s="14"/>
      <c r="R208" s="14"/>
      <c r="S208" s="14"/>
    </row>
    <row r="213" spans="10:10">
      <c r="J213" s="65" t="s">
        <v>413</v>
      </c>
    </row>
  </sheetData>
  <mergeCells count="45">
    <mergeCell ref="B19:B20"/>
    <mergeCell ref="E142:K142"/>
    <mergeCell ref="E141:K141"/>
    <mergeCell ref="E139:K139"/>
    <mergeCell ref="E138:K138"/>
    <mergeCell ref="E135:K135"/>
    <mergeCell ref="E137:K137"/>
    <mergeCell ref="E134:K134"/>
    <mergeCell ref="E132:K132"/>
    <mergeCell ref="E133:K133"/>
    <mergeCell ref="E130:K130"/>
    <mergeCell ref="E131:K131"/>
    <mergeCell ref="E127:K127"/>
    <mergeCell ref="E128:K128"/>
    <mergeCell ref="E125:K125"/>
    <mergeCell ref="E126:K126"/>
    <mergeCell ref="E122:K122"/>
    <mergeCell ref="E123:K123"/>
    <mergeCell ref="E124:K124"/>
    <mergeCell ref="S19:S20"/>
    <mergeCell ref="E111:J111"/>
    <mergeCell ref="E117:J117"/>
    <mergeCell ref="L19:L20"/>
    <mergeCell ref="M19:M20"/>
    <mergeCell ref="N19:N20"/>
    <mergeCell ref="O19:O20"/>
    <mergeCell ref="P19:P20"/>
    <mergeCell ref="Q19:Q20"/>
    <mergeCell ref="R19:R20"/>
    <mergeCell ref="E129:K129"/>
    <mergeCell ref="E136:K136"/>
    <mergeCell ref="E140:K140"/>
    <mergeCell ref="G14:K14"/>
    <mergeCell ref="D19:D20"/>
    <mergeCell ref="E19:E20"/>
    <mergeCell ref="F19:F20"/>
    <mergeCell ref="G19:G20"/>
    <mergeCell ref="H19:H20"/>
    <mergeCell ref="I19:I20"/>
    <mergeCell ref="J19:J20"/>
    <mergeCell ref="K19:K20"/>
    <mergeCell ref="E121:K121"/>
    <mergeCell ref="E119:K119"/>
    <mergeCell ref="E120:K120"/>
    <mergeCell ref="E118:K11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5F17C-011C-4FEA-AA09-FF1D19C691B1}">
          <x14:formula1>
            <xm:f>'Services to Beneficiaries'!$B$7:$B$17</xm:f>
          </x14:formula1>
          <xm:sqref>B23 B25:B26 B28:B31 B33:B35 B39:B49 B51:B64 B67 B69 B72:B74 B76:B77 B81:B83 B85 B89 B91 B94 B96 B98 B101 B103 B105:B106 B108:B109 B113:B116 B130:B135 B125:B128 B137:B139 B119:B123 B141:B142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B5EE-98D6-4AC5-9BC7-F7C2BF088F0A}">
  <dimension ref="A1:S251"/>
  <sheetViews>
    <sheetView topLeftCell="A151" workbookViewId="0">
      <selection activeCell="A164" sqref="A164:A170"/>
    </sheetView>
  </sheetViews>
  <sheetFormatPr defaultColWidth="24.6640625" defaultRowHeight="12.75" customHeight="1" outlineLevelRow="1" outlineLevelCol="1"/>
  <cols>
    <col min="1" max="1" width="2.6640625" style="162" customWidth="1"/>
    <col min="2" max="2" width="9.109375" style="179" bestFit="1" customWidth="1"/>
    <col min="3" max="3" width="31.88671875" style="179" customWidth="1"/>
    <col min="4" max="4" width="9.109375" style="179" bestFit="1" customWidth="1"/>
    <col min="5" max="5" width="99" style="179" customWidth="1"/>
    <col min="6" max="6" width="9" style="179" customWidth="1" outlineLevel="1"/>
    <col min="7" max="7" width="14.44140625" style="179" customWidth="1" outlineLevel="1"/>
    <col min="8" max="8" width="9.6640625" style="179" customWidth="1" outlineLevel="1"/>
    <col min="9" max="9" width="6.6640625" style="179" customWidth="1" outlineLevel="1"/>
    <col min="10" max="10" width="9.44140625" style="75" customWidth="1" outlineLevel="1"/>
    <col min="11" max="11" width="14.5546875" style="179" customWidth="1"/>
    <col min="12" max="12" width="18.109375" style="180" customWidth="1"/>
    <col min="13" max="17" width="15.109375" style="181" customWidth="1" outlineLevel="1"/>
    <col min="18" max="19" width="15.109375" style="181" bestFit="1" customWidth="1"/>
    <col min="20" max="32" width="9.109375" style="179"/>
    <col min="33" max="16384" width="24.6640625" style="179"/>
  </cols>
  <sheetData>
    <row r="1" spans="1:19" s="162" customFormat="1" ht="13.2">
      <c r="E1" s="163"/>
    </row>
    <row r="2" spans="1:19" s="162" customFormat="1" ht="13.2" outlineLevel="1">
      <c r="E2" s="163"/>
    </row>
    <row r="3" spans="1:19" s="162" customFormat="1" ht="14.4" outlineLevel="1">
      <c r="E3"/>
    </row>
    <row r="4" spans="1:19" s="162" customFormat="1" ht="13.2" outlineLevel="1">
      <c r="E4" s="163"/>
    </row>
    <row r="5" spans="1:19" s="162" customFormat="1" ht="14.4" outlineLevel="1">
      <c r="E5"/>
    </row>
    <row r="6" spans="1:19" s="162" customFormat="1" ht="13.2" outlineLevel="1">
      <c r="E6" s="163"/>
    </row>
    <row r="7" spans="1:19" s="162" customFormat="1" ht="13.2" outlineLevel="1">
      <c r="E7" s="163"/>
    </row>
    <row r="8" spans="1:19" s="162" customFormat="1" ht="13.2" outlineLevel="1">
      <c r="E8" s="163"/>
    </row>
    <row r="9" spans="1:19" s="162" customFormat="1" ht="13.2" outlineLevel="1">
      <c r="E9" s="163"/>
    </row>
    <row r="10" spans="1:19" s="162" customFormat="1" ht="13.2" outlineLevel="1">
      <c r="E10" s="163"/>
    </row>
    <row r="11" spans="1:19" s="162" customFormat="1" ht="13.2" outlineLevel="1">
      <c r="E11" s="163"/>
    </row>
    <row r="12" spans="1:19" s="2" customFormat="1" ht="17.399999999999999">
      <c r="A12" s="1"/>
      <c r="B12" s="68"/>
      <c r="C12" s="68"/>
      <c r="D12" s="68"/>
      <c r="E12" s="203" t="s">
        <v>35</v>
      </c>
      <c r="F12" s="69"/>
      <c r="G12" s="70"/>
      <c r="H12" s="70"/>
      <c r="I12" s="70"/>
      <c r="J12" s="110"/>
      <c r="K12" s="70"/>
      <c r="L12" s="135"/>
      <c r="M12" s="136"/>
      <c r="N12" s="136"/>
      <c r="O12" s="136"/>
      <c r="P12" s="136"/>
      <c r="Q12" s="136"/>
      <c r="R12" s="136"/>
      <c r="S12" s="136"/>
    </row>
    <row r="13" spans="1:19" s="2" customFormat="1" ht="17.399999999999999">
      <c r="A13" s="1"/>
      <c r="B13" s="68"/>
      <c r="C13" s="68"/>
      <c r="D13" s="68"/>
      <c r="E13" s="203" t="s">
        <v>414</v>
      </c>
      <c r="F13" s="69"/>
      <c r="G13" s="70"/>
      <c r="H13" s="70"/>
      <c r="I13" s="70"/>
      <c r="J13" s="110"/>
      <c r="K13" s="70"/>
      <c r="L13" s="135"/>
      <c r="M13" s="136"/>
      <c r="N13" s="136"/>
      <c r="O13" s="136"/>
      <c r="P13" s="136"/>
      <c r="Q13" s="136"/>
      <c r="R13" s="136"/>
      <c r="S13" s="136"/>
    </row>
    <row r="14" spans="1:19" s="2" customFormat="1" ht="17.399999999999999">
      <c r="A14" s="1"/>
      <c r="E14" s="202" t="s">
        <v>37</v>
      </c>
      <c r="F14" s="69"/>
      <c r="G14" s="262"/>
      <c r="H14" s="262"/>
      <c r="I14" s="262"/>
      <c r="J14" s="262"/>
      <c r="K14" s="262"/>
      <c r="L14" s="137"/>
      <c r="M14" s="138"/>
      <c r="N14" s="138"/>
      <c r="O14" s="138"/>
      <c r="P14" s="138"/>
      <c r="Q14" s="138"/>
      <c r="R14" s="138"/>
      <c r="S14" s="138"/>
    </row>
    <row r="15" spans="1:19" s="2" customFormat="1" ht="17.399999999999999">
      <c r="A15" s="1"/>
      <c r="B15" s="68"/>
      <c r="C15" s="68"/>
      <c r="D15" s="68"/>
      <c r="E15" s="203" t="s">
        <v>38</v>
      </c>
      <c r="F15" s="69"/>
      <c r="G15" s="70"/>
      <c r="H15" s="70"/>
      <c r="I15" s="70"/>
      <c r="J15" s="110"/>
      <c r="K15" s="70"/>
      <c r="L15" s="139"/>
      <c r="M15" s="140"/>
      <c r="N15" s="140"/>
      <c r="O15" s="140"/>
      <c r="P15" s="140"/>
      <c r="Q15" s="140"/>
      <c r="R15" s="140"/>
      <c r="S15" s="140"/>
    </row>
    <row r="16" spans="1:19" s="2" customFormat="1" ht="17.399999999999999">
      <c r="A16" s="1"/>
      <c r="B16" s="68"/>
      <c r="C16" s="68"/>
      <c r="D16" s="68"/>
      <c r="E16" s="203" t="s">
        <v>39</v>
      </c>
      <c r="F16" s="69"/>
      <c r="G16" s="70"/>
      <c r="H16" s="70"/>
      <c r="I16" s="70"/>
      <c r="J16" s="110"/>
      <c r="K16" s="96"/>
      <c r="L16" s="135"/>
      <c r="M16" s="141"/>
      <c r="N16" s="142"/>
      <c r="O16" s="142"/>
      <c r="P16" s="142"/>
      <c r="Q16" s="142"/>
      <c r="R16" s="142"/>
      <c r="S16" s="142"/>
    </row>
    <row r="17" spans="1:19" s="2" customFormat="1" ht="17.399999999999999">
      <c r="A17" s="1"/>
      <c r="B17" s="68"/>
      <c r="C17" s="68"/>
      <c r="D17" s="68"/>
      <c r="E17" s="203" t="s">
        <v>40</v>
      </c>
      <c r="F17" s="69"/>
      <c r="G17" s="70"/>
      <c r="H17" s="70"/>
      <c r="I17" s="70"/>
      <c r="J17" s="110"/>
      <c r="K17" s="96"/>
      <c r="L17" s="135"/>
      <c r="M17" s="142"/>
      <c r="N17" s="142"/>
      <c r="O17" s="142"/>
      <c r="P17" s="142"/>
      <c r="Q17" s="142"/>
      <c r="R17" s="142"/>
      <c r="S17" s="142"/>
    </row>
    <row r="18" spans="1:19" s="2" customFormat="1" ht="17.399999999999999" outlineLevel="1">
      <c r="A18" s="94"/>
      <c r="B18" s="94"/>
      <c r="C18" s="94"/>
      <c r="D18" s="94"/>
      <c r="E18" s="69"/>
      <c r="F18" s="69"/>
      <c r="G18" s="70"/>
      <c r="H18" s="70"/>
      <c r="I18" s="70"/>
      <c r="J18" s="71"/>
      <c r="K18" s="96"/>
      <c r="L18" s="95"/>
      <c r="M18" s="72"/>
      <c r="N18" s="72"/>
      <c r="O18" s="72"/>
      <c r="P18" s="72"/>
      <c r="Q18" s="72"/>
      <c r="R18" s="72"/>
      <c r="S18" s="72"/>
    </row>
    <row r="19" spans="1:19" s="166" customFormat="1" ht="12" outlineLevel="1" thickBot="1">
      <c r="A19" s="164"/>
      <c r="B19" s="164"/>
      <c r="C19" s="164"/>
      <c r="D19" s="164"/>
      <c r="E19" s="165"/>
      <c r="F19" s="164"/>
      <c r="G19" s="165"/>
      <c r="H19" s="164"/>
      <c r="I19" s="164"/>
      <c r="J19" s="164"/>
      <c r="K19" s="164"/>
      <c r="M19" s="164"/>
      <c r="N19" s="164"/>
      <c r="O19" s="164"/>
      <c r="P19" s="164"/>
      <c r="Q19" s="164"/>
      <c r="R19" s="164"/>
      <c r="S19" s="164"/>
    </row>
    <row r="20" spans="1:19" s="168" customFormat="1" ht="13.2">
      <c r="A20" s="167"/>
      <c r="B20" s="286"/>
      <c r="C20" s="215"/>
      <c r="D20" s="286" t="s">
        <v>41</v>
      </c>
      <c r="E20" s="288" t="s">
        <v>1</v>
      </c>
      <c r="F20" s="290" t="s">
        <v>42</v>
      </c>
      <c r="G20" s="288" t="s">
        <v>43</v>
      </c>
      <c r="H20" s="288" t="s">
        <v>44</v>
      </c>
      <c r="I20" s="292" t="s">
        <v>45</v>
      </c>
      <c r="J20" s="294" t="s">
        <v>46</v>
      </c>
      <c r="K20" s="288" t="s">
        <v>47</v>
      </c>
      <c r="L20" s="301" t="s">
        <v>415</v>
      </c>
      <c r="M20" s="298" t="s">
        <v>49</v>
      </c>
      <c r="N20" s="298" t="s">
        <v>50</v>
      </c>
      <c r="O20" s="298" t="s">
        <v>51</v>
      </c>
      <c r="P20" s="298" t="s">
        <v>52</v>
      </c>
      <c r="Q20" s="298" t="s">
        <v>53</v>
      </c>
      <c r="R20" s="298" t="s">
        <v>54</v>
      </c>
      <c r="S20" s="298" t="s">
        <v>55</v>
      </c>
    </row>
    <row r="21" spans="1:19" s="168" customFormat="1" ht="13.2">
      <c r="A21" s="167"/>
      <c r="B21" s="287"/>
      <c r="C21" s="216"/>
      <c r="D21" s="287"/>
      <c r="E21" s="289"/>
      <c r="F21" s="291"/>
      <c r="G21" s="289" t="s">
        <v>56</v>
      </c>
      <c r="H21" s="289" t="s">
        <v>57</v>
      </c>
      <c r="I21" s="293"/>
      <c r="J21" s="295"/>
      <c r="K21" s="289"/>
      <c r="L21" s="301"/>
      <c r="M21" s="298"/>
      <c r="N21" s="298"/>
      <c r="O21" s="298"/>
      <c r="P21" s="298"/>
      <c r="Q21" s="298"/>
      <c r="R21" s="298"/>
      <c r="S21" s="298"/>
    </row>
    <row r="22" spans="1:19" s="169" customFormat="1" ht="15.6">
      <c r="B22" s="170"/>
      <c r="C22" s="170"/>
      <c r="D22" s="170" t="s">
        <v>58</v>
      </c>
      <c r="E22" s="171" t="s">
        <v>328</v>
      </c>
      <c r="F22" s="171"/>
      <c r="G22" s="171"/>
      <c r="H22" s="171"/>
      <c r="I22" s="171"/>
      <c r="J22" s="21"/>
      <c r="K22" s="22"/>
      <c r="L22" s="8">
        <f>SUM(L23,L25,L27,L29)</f>
        <v>0</v>
      </c>
      <c r="M22" s="8">
        <f t="shared" ref="M22:S22" si="0">SUM(M23,M25,M27,M29)</f>
        <v>0</v>
      </c>
      <c r="N22" s="8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</row>
    <row r="23" spans="1:19" s="176" customFormat="1" ht="13.2">
      <c r="A23" s="9"/>
      <c r="B23" s="172"/>
      <c r="C23" s="172"/>
      <c r="D23" s="172" t="s">
        <v>60</v>
      </c>
      <c r="E23" s="173" t="s">
        <v>329</v>
      </c>
      <c r="F23" s="173"/>
      <c r="G23" s="173"/>
      <c r="H23" s="173"/>
      <c r="I23" s="173"/>
      <c r="J23" s="27"/>
      <c r="K23" s="174"/>
      <c r="L23" s="175">
        <f t="shared" ref="L23:S23" si="1">SUM(L24:L24)</f>
        <v>0</v>
      </c>
      <c r="M23" s="175">
        <f t="shared" si="1"/>
        <v>0</v>
      </c>
      <c r="N23" s="175">
        <f t="shared" si="1"/>
        <v>0</v>
      </c>
      <c r="O23" s="175">
        <f t="shared" si="1"/>
        <v>0</v>
      </c>
      <c r="P23" s="175">
        <f t="shared" si="1"/>
        <v>0</v>
      </c>
      <c r="Q23" s="175">
        <f t="shared" si="1"/>
        <v>0</v>
      </c>
      <c r="R23" s="175">
        <f t="shared" si="1"/>
        <v>0</v>
      </c>
      <c r="S23" s="175">
        <f t="shared" si="1"/>
        <v>0</v>
      </c>
    </row>
    <row r="24" spans="1:19" s="9" customFormat="1" ht="13.2">
      <c r="A24" s="31"/>
      <c r="B24" s="125"/>
      <c r="C24" s="125" t="str">
        <f>+IFERROR(VLOOKUP($B24, 'Services to Beneficiaries'!$B$7:$C$17, 2, 0), " ")</f>
        <v xml:space="preserve"> </v>
      </c>
      <c r="D24" s="32" t="s">
        <v>62</v>
      </c>
      <c r="E24" s="34"/>
      <c r="F24" s="34"/>
      <c r="G24" s="34"/>
      <c r="H24" s="34"/>
      <c r="I24" s="34"/>
      <c r="J24" s="35"/>
      <c r="K24" s="34"/>
      <c r="L24" s="38"/>
      <c r="M24" s="38"/>
      <c r="N24" s="38"/>
      <c r="O24" s="38"/>
      <c r="P24" s="38"/>
      <c r="Q24" s="38"/>
      <c r="R24" s="38"/>
      <c r="S24" s="38"/>
    </row>
    <row r="25" spans="1:19" s="176" customFormat="1" ht="13.2">
      <c r="A25" s="9"/>
      <c r="B25" s="172"/>
      <c r="C25" s="172"/>
      <c r="D25" s="172" t="s">
        <v>75</v>
      </c>
      <c r="E25" s="173" t="s">
        <v>333</v>
      </c>
      <c r="F25" s="173"/>
      <c r="G25" s="173"/>
      <c r="H25" s="173"/>
      <c r="I25" s="173"/>
      <c r="J25" s="27"/>
      <c r="K25" s="174"/>
      <c r="L25" s="175">
        <f t="shared" ref="L25:S25" si="2">SUM(L26:L26)</f>
        <v>0</v>
      </c>
      <c r="M25" s="175">
        <f t="shared" si="2"/>
        <v>0</v>
      </c>
      <c r="N25" s="175">
        <f t="shared" si="2"/>
        <v>0</v>
      </c>
      <c r="O25" s="175">
        <f t="shared" si="2"/>
        <v>0</v>
      </c>
      <c r="P25" s="175">
        <f t="shared" si="2"/>
        <v>0</v>
      </c>
      <c r="Q25" s="175">
        <f t="shared" si="2"/>
        <v>0</v>
      </c>
      <c r="R25" s="175">
        <f t="shared" si="2"/>
        <v>0</v>
      </c>
      <c r="S25" s="175">
        <f t="shared" si="2"/>
        <v>0</v>
      </c>
    </row>
    <row r="26" spans="1:19" s="9" customFormat="1" ht="13.2">
      <c r="A26" s="31"/>
      <c r="B26" s="125"/>
      <c r="C26" s="125" t="str">
        <f>+IFERROR(VLOOKUP($B26, 'Services to Beneficiaries'!$B$7:$C$17, 2, 0), " ")</f>
        <v xml:space="preserve"> </v>
      </c>
      <c r="D26" s="32"/>
      <c r="E26" s="34"/>
      <c r="F26" s="34"/>
      <c r="G26" s="34"/>
      <c r="H26" s="34"/>
      <c r="I26" s="34"/>
      <c r="J26" s="35"/>
      <c r="K26" s="34"/>
      <c r="L26" s="38"/>
      <c r="M26" s="38"/>
      <c r="N26" s="38"/>
      <c r="O26" s="38"/>
      <c r="P26" s="38"/>
      <c r="Q26" s="38"/>
      <c r="R26" s="38"/>
      <c r="S26" s="38"/>
    </row>
    <row r="27" spans="1:19" s="176" customFormat="1" ht="13.2">
      <c r="A27" s="9"/>
      <c r="B27" s="172"/>
      <c r="C27" s="172"/>
      <c r="D27" s="172" t="s">
        <v>79</v>
      </c>
      <c r="E27" s="173" t="s">
        <v>80</v>
      </c>
      <c r="F27" s="173"/>
      <c r="G27" s="173"/>
      <c r="H27" s="173"/>
      <c r="I27" s="173"/>
      <c r="J27" s="27"/>
      <c r="K27" s="174"/>
      <c r="L27" s="175">
        <f t="shared" ref="L27:S27" si="3">SUM(L28:L28)</f>
        <v>0</v>
      </c>
      <c r="M27" s="175">
        <f t="shared" si="3"/>
        <v>0</v>
      </c>
      <c r="N27" s="175">
        <f t="shared" si="3"/>
        <v>0</v>
      </c>
      <c r="O27" s="175">
        <f t="shared" si="3"/>
        <v>0</v>
      </c>
      <c r="P27" s="175">
        <f t="shared" si="3"/>
        <v>0</v>
      </c>
      <c r="Q27" s="175">
        <f t="shared" si="3"/>
        <v>0</v>
      </c>
      <c r="R27" s="175">
        <f t="shared" si="3"/>
        <v>0</v>
      </c>
      <c r="S27" s="175">
        <f t="shared" si="3"/>
        <v>0</v>
      </c>
    </row>
    <row r="28" spans="1:19" s="9" customFormat="1" ht="13.2">
      <c r="A28" s="31"/>
      <c r="B28" s="125"/>
      <c r="C28" s="125" t="str">
        <f>+IFERROR(VLOOKUP($B28, 'Services to Beneficiaries'!$B$7:$C$17, 2, 0), " ")</f>
        <v xml:space="preserve"> </v>
      </c>
      <c r="D28" s="32"/>
      <c r="E28" s="34"/>
      <c r="F28" s="34"/>
      <c r="G28" s="34"/>
      <c r="H28" s="34"/>
      <c r="I28" s="34"/>
      <c r="J28" s="35"/>
      <c r="K28" s="34"/>
      <c r="L28" s="38"/>
      <c r="M28" s="38"/>
      <c r="N28" s="38"/>
      <c r="O28" s="38"/>
      <c r="P28" s="38"/>
      <c r="Q28" s="38"/>
      <c r="R28" s="38"/>
      <c r="S28" s="38"/>
    </row>
    <row r="29" spans="1:19" s="176" customFormat="1" ht="13.2">
      <c r="A29" s="9"/>
      <c r="B29" s="172"/>
      <c r="C29" s="172"/>
      <c r="D29" s="172" t="s">
        <v>83</v>
      </c>
      <c r="E29" s="173" t="s">
        <v>84</v>
      </c>
      <c r="F29" s="173"/>
      <c r="G29" s="173"/>
      <c r="H29" s="173"/>
      <c r="I29" s="173"/>
      <c r="J29" s="27"/>
      <c r="K29" s="174"/>
      <c r="L29" s="175">
        <f t="shared" ref="L29:S29" si="4">SUM(L30:L30)</f>
        <v>0</v>
      </c>
      <c r="M29" s="175">
        <f t="shared" si="4"/>
        <v>0</v>
      </c>
      <c r="N29" s="175">
        <f t="shared" si="4"/>
        <v>0</v>
      </c>
      <c r="O29" s="175">
        <f t="shared" si="4"/>
        <v>0</v>
      </c>
      <c r="P29" s="175">
        <f t="shared" si="4"/>
        <v>0</v>
      </c>
      <c r="Q29" s="175">
        <f t="shared" si="4"/>
        <v>0</v>
      </c>
      <c r="R29" s="175">
        <f t="shared" si="4"/>
        <v>0</v>
      </c>
      <c r="S29" s="175">
        <f t="shared" si="4"/>
        <v>0</v>
      </c>
    </row>
    <row r="30" spans="1:19" s="9" customFormat="1" ht="13.2">
      <c r="A30" s="31"/>
      <c r="B30" s="125"/>
      <c r="C30" s="125" t="str">
        <f>+IFERROR(VLOOKUP($B30, 'Services to Beneficiaries'!$B$7:$C$17, 2, 0), " ")</f>
        <v xml:space="preserve"> </v>
      </c>
      <c r="D30" s="32"/>
      <c r="E30" s="34"/>
      <c r="F30" s="34"/>
      <c r="G30" s="34"/>
      <c r="H30" s="34"/>
      <c r="I30" s="34"/>
      <c r="J30" s="35"/>
      <c r="K30" s="34"/>
      <c r="L30" s="38"/>
      <c r="M30" s="38"/>
      <c r="N30" s="38"/>
      <c r="O30" s="38"/>
      <c r="P30" s="38"/>
      <c r="Q30" s="38"/>
      <c r="R30" s="38"/>
      <c r="S30" s="38"/>
    </row>
    <row r="31" spans="1:19" s="169" customFormat="1" ht="15.6">
      <c r="B31" s="170"/>
      <c r="C31" s="170"/>
      <c r="D31" s="170" t="s">
        <v>87</v>
      </c>
      <c r="E31" s="171" t="s">
        <v>416</v>
      </c>
      <c r="F31" s="171"/>
      <c r="G31" s="171"/>
      <c r="H31" s="171"/>
      <c r="I31" s="171"/>
      <c r="J31" s="21"/>
      <c r="K31" s="22"/>
      <c r="L31" s="8">
        <f t="shared" ref="L31:S31" si="5">SUM(L32,L62,L67)</f>
        <v>348249.97678039357</v>
      </c>
      <c r="M31" s="8">
        <f t="shared" si="5"/>
        <v>69649.995356078711</v>
      </c>
      <c r="N31" s="8">
        <f t="shared" si="5"/>
        <v>69649.995356078711</v>
      </c>
      <c r="O31" s="8">
        <f t="shared" si="5"/>
        <v>69649.995356078711</v>
      </c>
      <c r="P31" s="8">
        <f t="shared" si="5"/>
        <v>69649.995356078711</v>
      </c>
      <c r="Q31" s="8">
        <f t="shared" si="5"/>
        <v>69649.995356078711</v>
      </c>
      <c r="R31" s="8">
        <f t="shared" si="5"/>
        <v>174124.98839019678</v>
      </c>
      <c r="S31" s="8">
        <f t="shared" si="5"/>
        <v>174124.98839019678</v>
      </c>
    </row>
    <row r="32" spans="1:19" s="176" customFormat="1" ht="13.2">
      <c r="A32" s="9"/>
      <c r="B32" s="172"/>
      <c r="C32" s="172"/>
      <c r="D32" s="172" t="s">
        <v>89</v>
      </c>
      <c r="E32" s="173" t="s">
        <v>90</v>
      </c>
      <c r="F32" s="173"/>
      <c r="G32" s="173"/>
      <c r="H32" s="173"/>
      <c r="I32" s="173"/>
      <c r="J32" s="27"/>
      <c r="K32" s="174"/>
      <c r="L32" s="175">
        <f>SUM(L33,L41)</f>
        <v>246774.78851268685</v>
      </c>
      <c r="M32" s="175">
        <f t="shared" ref="M32:S32" si="6">SUM(M33,M41)</f>
        <v>49354.957702537373</v>
      </c>
      <c r="N32" s="175">
        <f t="shared" si="6"/>
        <v>49354.957702537373</v>
      </c>
      <c r="O32" s="175">
        <f t="shared" si="6"/>
        <v>49354.957702537373</v>
      </c>
      <c r="P32" s="175">
        <f t="shared" si="6"/>
        <v>49354.957702537373</v>
      </c>
      <c r="Q32" s="175">
        <f t="shared" si="6"/>
        <v>49354.957702537373</v>
      </c>
      <c r="R32" s="175">
        <f t="shared" si="6"/>
        <v>123387.39425634342</v>
      </c>
      <c r="S32" s="175">
        <f t="shared" si="6"/>
        <v>123387.39425634342</v>
      </c>
    </row>
    <row r="33" spans="1:19" s="39" customFormat="1" ht="13.2">
      <c r="B33" s="40"/>
      <c r="C33" s="40"/>
      <c r="D33" s="40" t="s">
        <v>91</v>
      </c>
      <c r="E33" s="40" t="s">
        <v>92</v>
      </c>
      <c r="F33" s="40"/>
      <c r="G33" s="40"/>
      <c r="H33" s="40"/>
      <c r="I33" s="40"/>
      <c r="J33" s="42"/>
      <c r="K33" s="40"/>
      <c r="L33" s="44">
        <f>SUM(L34:L40)</f>
        <v>186937.22642108265</v>
      </c>
      <c r="M33" s="44">
        <f t="shared" ref="M33:S33" si="7">SUM(M34:M40)</f>
        <v>37387.445284216534</v>
      </c>
      <c r="N33" s="44">
        <f t="shared" si="7"/>
        <v>37387.445284216534</v>
      </c>
      <c r="O33" s="44">
        <f t="shared" si="7"/>
        <v>37387.445284216534</v>
      </c>
      <c r="P33" s="44">
        <f t="shared" si="7"/>
        <v>37387.445284216534</v>
      </c>
      <c r="Q33" s="44">
        <f t="shared" si="7"/>
        <v>37387.445284216534</v>
      </c>
      <c r="R33" s="44">
        <f t="shared" si="7"/>
        <v>93468.613210541327</v>
      </c>
      <c r="S33" s="44">
        <f t="shared" si="7"/>
        <v>93468.613210541327</v>
      </c>
    </row>
    <row r="34" spans="1:19" s="9" customFormat="1" ht="13.2">
      <c r="A34" s="177"/>
      <c r="B34" s="125"/>
      <c r="C34" s="125" t="str">
        <f>+IFERROR(VLOOKUP($B34, 'Services to Beneficiaries'!$B$7:$C$17, 2, 0), " ")</f>
        <v xml:space="preserve"> </v>
      </c>
      <c r="D34" s="32" t="s">
        <v>93</v>
      </c>
      <c r="E34" s="34" t="s">
        <v>417</v>
      </c>
      <c r="F34" s="34">
        <v>1</v>
      </c>
      <c r="G34" s="34" t="s">
        <v>418</v>
      </c>
      <c r="H34" s="34">
        <v>24</v>
      </c>
      <c r="I34" s="34"/>
      <c r="J34" s="35">
        <v>1</v>
      </c>
      <c r="K34" s="34">
        <v>2329.4995035447</v>
      </c>
      <c r="L34" s="38">
        <f t="shared" ref="L34:L40" si="8">+H34*J34*K34*F34</f>
        <v>55907.9880850728</v>
      </c>
      <c r="M34" s="38">
        <f t="shared" ref="M34:Q40" si="9">$L34/5</f>
        <v>11181.59761701456</v>
      </c>
      <c r="N34" s="38">
        <f t="shared" si="9"/>
        <v>11181.59761701456</v>
      </c>
      <c r="O34" s="38">
        <f t="shared" si="9"/>
        <v>11181.59761701456</v>
      </c>
      <c r="P34" s="38">
        <f t="shared" si="9"/>
        <v>11181.59761701456</v>
      </c>
      <c r="Q34" s="38">
        <f t="shared" si="9"/>
        <v>11181.59761701456</v>
      </c>
      <c r="R34" s="38">
        <f t="shared" ref="R34:S40" si="10">$L34/2</f>
        <v>27953.9940425364</v>
      </c>
      <c r="S34" s="38">
        <f t="shared" si="10"/>
        <v>27953.9940425364</v>
      </c>
    </row>
    <row r="35" spans="1:19" s="9" customFormat="1" ht="13.2">
      <c r="A35" s="31"/>
      <c r="B35" s="125"/>
      <c r="C35" s="125" t="str">
        <f>+IFERROR(VLOOKUP($B35, 'Services to Beneficiaries'!$B$7:$C$17, 2, 0), " ")</f>
        <v xml:space="preserve"> </v>
      </c>
      <c r="D35" s="32" t="s">
        <v>97</v>
      </c>
      <c r="E35" s="34" t="s">
        <v>419</v>
      </c>
      <c r="F35" s="34">
        <v>1</v>
      </c>
      <c r="G35" s="34" t="s">
        <v>418</v>
      </c>
      <c r="H35" s="34">
        <v>24</v>
      </c>
      <c r="I35" s="34"/>
      <c r="J35" s="35">
        <v>1</v>
      </c>
      <c r="K35" s="34">
        <v>1252.793638789442</v>
      </c>
      <c r="L35" s="38">
        <f t="shared" si="8"/>
        <v>30067.047330946607</v>
      </c>
      <c r="M35" s="38">
        <f t="shared" si="9"/>
        <v>6013.4094661893214</v>
      </c>
      <c r="N35" s="38">
        <f t="shared" si="9"/>
        <v>6013.4094661893214</v>
      </c>
      <c r="O35" s="38">
        <f t="shared" si="9"/>
        <v>6013.4094661893214</v>
      </c>
      <c r="P35" s="38">
        <f t="shared" si="9"/>
        <v>6013.4094661893214</v>
      </c>
      <c r="Q35" s="38">
        <f t="shared" si="9"/>
        <v>6013.4094661893214</v>
      </c>
      <c r="R35" s="38">
        <f t="shared" si="10"/>
        <v>15033.523665473303</v>
      </c>
      <c r="S35" s="38">
        <f t="shared" si="10"/>
        <v>15033.523665473303</v>
      </c>
    </row>
    <row r="36" spans="1:19" s="9" customFormat="1" ht="13.2">
      <c r="A36" s="31"/>
      <c r="B36" s="125"/>
      <c r="C36" s="125" t="str">
        <f>+IFERROR(VLOOKUP($B36, 'Services to Beneficiaries'!$B$7:$C$17, 2, 0), " ")</f>
        <v xml:space="preserve"> </v>
      </c>
      <c r="D36" s="32" t="s">
        <v>99</v>
      </c>
      <c r="E36" s="34" t="s">
        <v>420</v>
      </c>
      <c r="F36" s="34">
        <v>3</v>
      </c>
      <c r="G36" s="34" t="s">
        <v>418</v>
      </c>
      <c r="H36" s="34">
        <v>24</v>
      </c>
      <c r="I36" s="34"/>
      <c r="J36" s="35">
        <v>1</v>
      </c>
      <c r="K36" s="34">
        <v>812.21944331382019</v>
      </c>
      <c r="L36" s="38">
        <f t="shared" si="8"/>
        <v>58479.799918595054</v>
      </c>
      <c r="M36" s="38">
        <f t="shared" si="9"/>
        <v>11695.959983719011</v>
      </c>
      <c r="N36" s="38">
        <f t="shared" si="9"/>
        <v>11695.959983719011</v>
      </c>
      <c r="O36" s="38">
        <f t="shared" si="9"/>
        <v>11695.959983719011</v>
      </c>
      <c r="P36" s="38">
        <f t="shared" si="9"/>
        <v>11695.959983719011</v>
      </c>
      <c r="Q36" s="38">
        <f t="shared" si="9"/>
        <v>11695.959983719011</v>
      </c>
      <c r="R36" s="38">
        <f t="shared" si="10"/>
        <v>29239.899959297527</v>
      </c>
      <c r="S36" s="38">
        <f t="shared" si="10"/>
        <v>29239.899959297527</v>
      </c>
    </row>
    <row r="37" spans="1:19" s="9" customFormat="1" ht="13.2">
      <c r="A37" s="31"/>
      <c r="B37" s="125"/>
      <c r="C37" s="125" t="str">
        <f>+IFERROR(VLOOKUP($B37, 'Services to Beneficiaries'!$B$7:$C$17, 2, 0), " ")</f>
        <v xml:space="preserve"> </v>
      </c>
      <c r="D37" s="32" t="s">
        <v>101</v>
      </c>
      <c r="E37" s="34" t="s">
        <v>421</v>
      </c>
      <c r="F37" s="34">
        <v>1</v>
      </c>
      <c r="G37" s="34" t="s">
        <v>418</v>
      </c>
      <c r="H37" s="34">
        <v>24</v>
      </c>
      <c r="I37" s="34"/>
      <c r="J37" s="35">
        <v>1</v>
      </c>
      <c r="K37" s="34">
        <v>996.93861292926204</v>
      </c>
      <c r="L37" s="38">
        <f t="shared" si="8"/>
        <v>23926.526710302289</v>
      </c>
      <c r="M37" s="38">
        <f t="shared" si="9"/>
        <v>4785.3053420604574</v>
      </c>
      <c r="N37" s="38">
        <f t="shared" si="9"/>
        <v>4785.3053420604574</v>
      </c>
      <c r="O37" s="38">
        <f t="shared" si="9"/>
        <v>4785.3053420604574</v>
      </c>
      <c r="P37" s="38">
        <f t="shared" si="9"/>
        <v>4785.3053420604574</v>
      </c>
      <c r="Q37" s="38">
        <f t="shared" si="9"/>
        <v>4785.3053420604574</v>
      </c>
      <c r="R37" s="38">
        <f t="shared" si="10"/>
        <v>11963.263355151144</v>
      </c>
      <c r="S37" s="38">
        <f t="shared" si="10"/>
        <v>11963.263355151144</v>
      </c>
    </row>
    <row r="38" spans="1:19" s="9" customFormat="1" ht="13.2">
      <c r="A38" s="31"/>
      <c r="B38" s="125"/>
      <c r="C38" s="125" t="str">
        <f>+IFERROR(VLOOKUP($B38, 'Services to Beneficiaries'!$B$7:$C$17, 2, 0), " ")</f>
        <v xml:space="preserve"> </v>
      </c>
      <c r="D38" s="32" t="s">
        <v>355</v>
      </c>
      <c r="E38" s="34" t="s">
        <v>422</v>
      </c>
      <c r="F38" s="34">
        <v>1</v>
      </c>
      <c r="G38" s="34" t="s">
        <v>418</v>
      </c>
      <c r="H38" s="34">
        <v>24</v>
      </c>
      <c r="I38" s="34"/>
      <c r="J38" s="35">
        <v>0.03</v>
      </c>
      <c r="K38" s="34">
        <v>3271.7924736071736</v>
      </c>
      <c r="L38" s="38">
        <f t="shared" si="8"/>
        <v>2355.6905809971649</v>
      </c>
      <c r="M38" s="38">
        <f t="shared" si="9"/>
        <v>471.138116199433</v>
      </c>
      <c r="N38" s="38">
        <f t="shared" si="9"/>
        <v>471.138116199433</v>
      </c>
      <c r="O38" s="38">
        <f t="shared" si="9"/>
        <v>471.138116199433</v>
      </c>
      <c r="P38" s="38">
        <f t="shared" si="9"/>
        <v>471.138116199433</v>
      </c>
      <c r="Q38" s="38">
        <f t="shared" si="9"/>
        <v>471.138116199433</v>
      </c>
      <c r="R38" s="38">
        <f t="shared" si="10"/>
        <v>1177.8452904985825</v>
      </c>
      <c r="S38" s="38">
        <f t="shared" si="10"/>
        <v>1177.8452904985825</v>
      </c>
    </row>
    <row r="39" spans="1:19" s="9" customFormat="1" ht="13.2">
      <c r="A39" s="31"/>
      <c r="B39" s="125"/>
      <c r="C39" s="125" t="str">
        <f>+IFERROR(VLOOKUP($B39, 'Services to Beneficiaries'!$B$7:$C$17, 2, 0), " ")</f>
        <v xml:space="preserve"> </v>
      </c>
      <c r="D39" s="32" t="s">
        <v>357</v>
      </c>
      <c r="E39" s="34" t="s">
        <v>423</v>
      </c>
      <c r="F39" s="34">
        <v>1</v>
      </c>
      <c r="G39" s="34" t="s">
        <v>418</v>
      </c>
      <c r="H39" s="34">
        <v>24</v>
      </c>
      <c r="I39" s="34"/>
      <c r="J39" s="35">
        <v>7.4999999999999997E-2</v>
      </c>
      <c r="K39" s="34">
        <v>2860.76221215333</v>
      </c>
      <c r="L39" s="38">
        <f t="shared" si="8"/>
        <v>5149.3719818759937</v>
      </c>
      <c r="M39" s="38">
        <f t="shared" si="9"/>
        <v>1029.8743963751988</v>
      </c>
      <c r="N39" s="38">
        <f t="shared" si="9"/>
        <v>1029.8743963751988</v>
      </c>
      <c r="O39" s="38">
        <f t="shared" si="9"/>
        <v>1029.8743963751988</v>
      </c>
      <c r="P39" s="38">
        <f t="shared" si="9"/>
        <v>1029.8743963751988</v>
      </c>
      <c r="Q39" s="38">
        <f t="shared" si="9"/>
        <v>1029.8743963751988</v>
      </c>
      <c r="R39" s="38">
        <f t="shared" si="10"/>
        <v>2574.6859909379968</v>
      </c>
      <c r="S39" s="38">
        <f t="shared" si="10"/>
        <v>2574.6859909379968</v>
      </c>
    </row>
    <row r="40" spans="1:19" s="9" customFormat="1" ht="13.2">
      <c r="A40" s="31"/>
      <c r="B40" s="125"/>
      <c r="C40" s="125" t="str">
        <f>+IFERROR(VLOOKUP($B40, 'Services to Beneficiaries'!$B$7:$C$17, 2, 0), " ")</f>
        <v xml:space="preserve"> </v>
      </c>
      <c r="D40" s="32" t="s">
        <v>359</v>
      </c>
      <c r="E40" s="34" t="s">
        <v>424</v>
      </c>
      <c r="F40" s="34">
        <v>1</v>
      </c>
      <c r="G40" s="34" t="s">
        <v>418</v>
      </c>
      <c r="H40" s="34">
        <v>24</v>
      </c>
      <c r="I40" s="34"/>
      <c r="J40" s="35">
        <v>0.2</v>
      </c>
      <c r="K40" s="34">
        <v>2302.2503777693182</v>
      </c>
      <c r="L40" s="38">
        <f t="shared" si="8"/>
        <v>11050.801813292728</v>
      </c>
      <c r="M40" s="38">
        <f t="shared" si="9"/>
        <v>2210.1603626585456</v>
      </c>
      <c r="N40" s="38">
        <f t="shared" si="9"/>
        <v>2210.1603626585456</v>
      </c>
      <c r="O40" s="38">
        <f t="shared" si="9"/>
        <v>2210.1603626585456</v>
      </c>
      <c r="P40" s="38">
        <f t="shared" si="9"/>
        <v>2210.1603626585456</v>
      </c>
      <c r="Q40" s="38">
        <f t="shared" si="9"/>
        <v>2210.1603626585456</v>
      </c>
      <c r="R40" s="38">
        <f t="shared" si="10"/>
        <v>5525.4009066463641</v>
      </c>
      <c r="S40" s="38">
        <f t="shared" si="10"/>
        <v>5525.4009066463641</v>
      </c>
    </row>
    <row r="41" spans="1:19" s="39" customFormat="1" ht="13.2">
      <c r="B41" s="100"/>
      <c r="C41" s="100"/>
      <c r="D41" s="100" t="s">
        <v>103</v>
      </c>
      <c r="E41" s="100" t="s">
        <v>104</v>
      </c>
      <c r="F41" s="100"/>
      <c r="G41" s="100"/>
      <c r="H41" s="100"/>
      <c r="I41" s="100"/>
      <c r="J41" s="101"/>
      <c r="K41" s="100"/>
      <c r="L41" s="102">
        <f>SUM(L42:L61)</f>
        <v>59837.562091604181</v>
      </c>
      <c r="M41" s="102">
        <f t="shared" ref="M41:S41" si="11">SUM(M42:M61)</f>
        <v>11967.512418320837</v>
      </c>
      <c r="N41" s="102">
        <f t="shared" si="11"/>
        <v>11967.512418320837</v>
      </c>
      <c r="O41" s="102">
        <f t="shared" si="11"/>
        <v>11967.512418320837</v>
      </c>
      <c r="P41" s="102">
        <f t="shared" si="11"/>
        <v>11967.512418320837</v>
      </c>
      <c r="Q41" s="102">
        <f t="shared" si="11"/>
        <v>11967.512418320837</v>
      </c>
      <c r="R41" s="102">
        <f t="shared" si="11"/>
        <v>29918.78104580209</v>
      </c>
      <c r="S41" s="102">
        <f t="shared" si="11"/>
        <v>29918.78104580209</v>
      </c>
    </row>
    <row r="42" spans="1:19" s="9" customFormat="1" ht="13.2">
      <c r="A42" s="31"/>
      <c r="B42" s="125"/>
      <c r="C42" s="125" t="str">
        <f>+IFERROR(VLOOKUP($B42, 'Services to Beneficiaries'!$B$7:$C$17, 2, 0), " ")</f>
        <v xml:space="preserve"> </v>
      </c>
      <c r="D42" s="103" t="s">
        <v>105</v>
      </c>
      <c r="E42" s="99" t="s">
        <v>425</v>
      </c>
      <c r="F42" s="34">
        <v>1</v>
      </c>
      <c r="G42" s="34" t="s">
        <v>418</v>
      </c>
      <c r="H42" s="34">
        <v>24</v>
      </c>
      <c r="I42" s="104"/>
      <c r="J42" s="105">
        <v>0.1</v>
      </c>
      <c r="K42" s="104">
        <v>1374.6436773899004</v>
      </c>
      <c r="L42" s="106">
        <f t="shared" ref="L42:L61" si="12">+H42*J42*K42*F42</f>
        <v>3299.1448257357615</v>
      </c>
      <c r="M42" s="38">
        <f t="shared" ref="M42:Q51" si="13">$L42/5</f>
        <v>659.8289651471523</v>
      </c>
      <c r="N42" s="38">
        <f t="shared" si="13"/>
        <v>659.8289651471523</v>
      </c>
      <c r="O42" s="38">
        <f t="shared" si="13"/>
        <v>659.8289651471523</v>
      </c>
      <c r="P42" s="38">
        <f t="shared" si="13"/>
        <v>659.8289651471523</v>
      </c>
      <c r="Q42" s="38">
        <f t="shared" si="13"/>
        <v>659.8289651471523</v>
      </c>
      <c r="R42" s="106">
        <f t="shared" ref="R42:S61" si="14">$L42/2</f>
        <v>1649.5724128678808</v>
      </c>
      <c r="S42" s="106">
        <f t="shared" si="14"/>
        <v>1649.5724128678808</v>
      </c>
    </row>
    <row r="43" spans="1:19" s="9" customFormat="1" ht="13.2">
      <c r="A43" s="31"/>
      <c r="B43" s="125"/>
      <c r="C43" s="125" t="str">
        <f>+IFERROR(VLOOKUP($B43, 'Services to Beneficiaries'!$B$7:$C$17, 2, 0), " ")</f>
        <v xml:space="preserve"> </v>
      </c>
      <c r="D43" s="103" t="s">
        <v>107</v>
      </c>
      <c r="E43" s="99" t="s">
        <v>426</v>
      </c>
      <c r="F43" s="34">
        <v>1</v>
      </c>
      <c r="G43" s="34" t="s">
        <v>418</v>
      </c>
      <c r="H43" s="34">
        <v>24</v>
      </c>
      <c r="I43" s="34"/>
      <c r="J43" s="105">
        <v>0.3</v>
      </c>
      <c r="K43" s="34">
        <v>704.92883071707161</v>
      </c>
      <c r="L43" s="38">
        <f t="shared" si="12"/>
        <v>5075.4875811629154</v>
      </c>
      <c r="M43" s="38">
        <f t="shared" si="13"/>
        <v>1015.0975162325831</v>
      </c>
      <c r="N43" s="38">
        <f t="shared" si="13"/>
        <v>1015.0975162325831</v>
      </c>
      <c r="O43" s="38">
        <f t="shared" si="13"/>
        <v>1015.0975162325831</v>
      </c>
      <c r="P43" s="38">
        <f t="shared" si="13"/>
        <v>1015.0975162325831</v>
      </c>
      <c r="Q43" s="38">
        <f t="shared" si="13"/>
        <v>1015.0975162325831</v>
      </c>
      <c r="R43" s="38">
        <f t="shared" si="14"/>
        <v>2537.7437905814577</v>
      </c>
      <c r="S43" s="38">
        <f t="shared" si="14"/>
        <v>2537.7437905814577</v>
      </c>
    </row>
    <row r="44" spans="1:19" s="9" customFormat="1" ht="13.2">
      <c r="A44" s="31"/>
      <c r="B44" s="125"/>
      <c r="C44" s="125" t="str">
        <f>+IFERROR(VLOOKUP($B44, 'Services to Beneficiaries'!$B$7:$C$17, 2, 0), " ")</f>
        <v xml:space="preserve"> </v>
      </c>
      <c r="D44" s="103" t="s">
        <v>109</v>
      </c>
      <c r="E44" s="99" t="s">
        <v>427</v>
      </c>
      <c r="F44" s="34">
        <v>1</v>
      </c>
      <c r="G44" s="34" t="s">
        <v>418</v>
      </c>
      <c r="H44" s="34">
        <v>24</v>
      </c>
      <c r="I44" s="34"/>
      <c r="J44" s="35">
        <v>0.2</v>
      </c>
      <c r="K44" s="34">
        <v>1439.1340865234256</v>
      </c>
      <c r="L44" s="38">
        <f t="shared" si="12"/>
        <v>6907.8436153124439</v>
      </c>
      <c r="M44" s="38">
        <f t="shared" si="13"/>
        <v>1381.5687230624887</v>
      </c>
      <c r="N44" s="38">
        <f t="shared" si="13"/>
        <v>1381.5687230624887</v>
      </c>
      <c r="O44" s="38">
        <f t="shared" si="13"/>
        <v>1381.5687230624887</v>
      </c>
      <c r="P44" s="38">
        <f t="shared" si="13"/>
        <v>1381.5687230624887</v>
      </c>
      <c r="Q44" s="38">
        <f t="shared" si="13"/>
        <v>1381.5687230624887</v>
      </c>
      <c r="R44" s="38">
        <f t="shared" si="14"/>
        <v>3453.921807656222</v>
      </c>
      <c r="S44" s="38">
        <f t="shared" si="14"/>
        <v>3453.921807656222</v>
      </c>
    </row>
    <row r="45" spans="1:19" s="9" customFormat="1" ht="13.2">
      <c r="A45" s="31"/>
      <c r="B45" s="125"/>
      <c r="C45" s="125" t="str">
        <f>+IFERROR(VLOOKUP($B45, 'Services to Beneficiaries'!$B$7:$C$17, 2, 0), " ")</f>
        <v xml:space="preserve"> </v>
      </c>
      <c r="D45" s="32" t="s">
        <v>111</v>
      </c>
      <c r="E45" s="34" t="s">
        <v>428</v>
      </c>
      <c r="F45" s="34">
        <v>1</v>
      </c>
      <c r="G45" s="34" t="s">
        <v>418</v>
      </c>
      <c r="H45" s="34">
        <v>24</v>
      </c>
      <c r="I45" s="34"/>
      <c r="J45" s="35">
        <v>0.05</v>
      </c>
      <c r="K45" s="34">
        <v>1281.2071316683671</v>
      </c>
      <c r="L45" s="38">
        <f t="shared" si="12"/>
        <v>1537.4485580020407</v>
      </c>
      <c r="M45" s="38">
        <f t="shared" si="13"/>
        <v>307.48971160040816</v>
      </c>
      <c r="N45" s="38">
        <f t="shared" si="13"/>
        <v>307.48971160040816</v>
      </c>
      <c r="O45" s="38">
        <f t="shared" si="13"/>
        <v>307.48971160040816</v>
      </c>
      <c r="P45" s="38">
        <f t="shared" si="13"/>
        <v>307.48971160040816</v>
      </c>
      <c r="Q45" s="38">
        <f t="shared" si="13"/>
        <v>307.48971160040816</v>
      </c>
      <c r="R45" s="38">
        <f t="shared" si="14"/>
        <v>768.72427900102036</v>
      </c>
      <c r="S45" s="38">
        <f t="shared" si="14"/>
        <v>768.72427900102036</v>
      </c>
    </row>
    <row r="46" spans="1:19" s="9" customFormat="1" ht="13.2">
      <c r="A46" s="31"/>
      <c r="B46" s="125"/>
      <c r="C46" s="125" t="str">
        <f>+IFERROR(VLOOKUP($B46, 'Services to Beneficiaries'!$B$7:$C$17, 2, 0), " ")</f>
        <v xml:space="preserve"> </v>
      </c>
      <c r="D46" s="103" t="s">
        <v>113</v>
      </c>
      <c r="E46" s="34" t="s">
        <v>429</v>
      </c>
      <c r="F46" s="34">
        <v>1</v>
      </c>
      <c r="G46" s="34" t="s">
        <v>418</v>
      </c>
      <c r="H46" s="34">
        <v>24</v>
      </c>
      <c r="I46" s="34"/>
      <c r="J46" s="35">
        <v>0.1</v>
      </c>
      <c r="K46" s="34">
        <v>867.05904979320121</v>
      </c>
      <c r="L46" s="38">
        <f t="shared" si="12"/>
        <v>2080.9417195036831</v>
      </c>
      <c r="M46" s="38">
        <f t="shared" si="13"/>
        <v>416.18834390073664</v>
      </c>
      <c r="N46" s="38">
        <f t="shared" si="13"/>
        <v>416.18834390073664</v>
      </c>
      <c r="O46" s="38">
        <f t="shared" si="13"/>
        <v>416.18834390073664</v>
      </c>
      <c r="P46" s="38">
        <f t="shared" si="13"/>
        <v>416.18834390073664</v>
      </c>
      <c r="Q46" s="38">
        <f t="shared" si="13"/>
        <v>416.18834390073664</v>
      </c>
      <c r="R46" s="38">
        <f t="shared" si="14"/>
        <v>1040.4708597518415</v>
      </c>
      <c r="S46" s="38">
        <f t="shared" si="14"/>
        <v>1040.4708597518415</v>
      </c>
    </row>
    <row r="47" spans="1:19" s="9" customFormat="1" ht="13.2">
      <c r="A47" s="31"/>
      <c r="B47" s="125"/>
      <c r="C47" s="125" t="str">
        <f>+IFERROR(VLOOKUP($B47, 'Services to Beneficiaries'!$B$7:$C$17, 2, 0), " ")</f>
        <v xml:space="preserve"> </v>
      </c>
      <c r="D47" s="103" t="s">
        <v>115</v>
      </c>
      <c r="E47" s="34" t="s">
        <v>430</v>
      </c>
      <c r="F47" s="34">
        <v>1</v>
      </c>
      <c r="G47" s="34" t="s">
        <v>418</v>
      </c>
      <c r="H47" s="34">
        <v>24</v>
      </c>
      <c r="I47" s="34"/>
      <c r="J47" s="35">
        <v>0.6</v>
      </c>
      <c r="K47" s="34">
        <v>596.55114209387796</v>
      </c>
      <c r="L47" s="38">
        <f t="shared" si="12"/>
        <v>8590.3364461518413</v>
      </c>
      <c r="M47" s="38">
        <f t="shared" si="13"/>
        <v>1718.0672892303683</v>
      </c>
      <c r="N47" s="38">
        <f t="shared" si="13"/>
        <v>1718.0672892303683</v>
      </c>
      <c r="O47" s="38">
        <f t="shared" si="13"/>
        <v>1718.0672892303683</v>
      </c>
      <c r="P47" s="38">
        <f t="shared" si="13"/>
        <v>1718.0672892303683</v>
      </c>
      <c r="Q47" s="38">
        <f t="shared" si="13"/>
        <v>1718.0672892303683</v>
      </c>
      <c r="R47" s="38">
        <f t="shared" si="14"/>
        <v>4295.1682230759207</v>
      </c>
      <c r="S47" s="38">
        <f t="shared" si="14"/>
        <v>4295.1682230759207</v>
      </c>
    </row>
    <row r="48" spans="1:19" s="9" customFormat="1" ht="13.2">
      <c r="A48" s="31"/>
      <c r="B48" s="125"/>
      <c r="C48" s="125" t="str">
        <f>+IFERROR(VLOOKUP($B48, 'Services to Beneficiaries'!$B$7:$C$17, 2, 0), " ")</f>
        <v xml:space="preserve"> </v>
      </c>
      <c r="D48" s="103" t="s">
        <v>117</v>
      </c>
      <c r="E48" s="34" t="s">
        <v>431</v>
      </c>
      <c r="F48" s="34">
        <v>1</v>
      </c>
      <c r="G48" s="34" t="s">
        <v>418</v>
      </c>
      <c r="H48" s="34">
        <v>24</v>
      </c>
      <c r="I48" s="34"/>
      <c r="J48" s="35">
        <v>1.72E-2</v>
      </c>
      <c r="K48" s="34">
        <v>5732.314960753115</v>
      </c>
      <c r="L48" s="38">
        <f t="shared" si="12"/>
        <v>2366.299615798886</v>
      </c>
      <c r="M48" s="38">
        <f t="shared" si="13"/>
        <v>473.2599231597772</v>
      </c>
      <c r="N48" s="38">
        <f t="shared" si="13"/>
        <v>473.2599231597772</v>
      </c>
      <c r="O48" s="38">
        <f t="shared" si="13"/>
        <v>473.2599231597772</v>
      </c>
      <c r="P48" s="38">
        <f t="shared" si="13"/>
        <v>473.2599231597772</v>
      </c>
      <c r="Q48" s="38">
        <f t="shared" si="13"/>
        <v>473.2599231597772</v>
      </c>
      <c r="R48" s="38">
        <f t="shared" si="14"/>
        <v>1183.149807899443</v>
      </c>
      <c r="S48" s="38">
        <f t="shared" si="14"/>
        <v>1183.149807899443</v>
      </c>
    </row>
    <row r="49" spans="1:19" s="9" customFormat="1" ht="13.2">
      <c r="A49" s="31"/>
      <c r="B49" s="125"/>
      <c r="C49" s="125" t="str">
        <f>+IFERROR(VLOOKUP($B49, 'Services to Beneficiaries'!$B$7:$C$17, 2, 0), " ")</f>
        <v xml:space="preserve"> </v>
      </c>
      <c r="D49" s="103" t="s">
        <v>119</v>
      </c>
      <c r="E49" s="34" t="s">
        <v>128</v>
      </c>
      <c r="F49" s="34">
        <v>1</v>
      </c>
      <c r="G49" s="34" t="s">
        <v>418</v>
      </c>
      <c r="H49" s="34">
        <v>24</v>
      </c>
      <c r="I49" s="34"/>
      <c r="J49" s="35">
        <v>1.72E-2</v>
      </c>
      <c r="K49" s="34">
        <v>4834.4537918773813</v>
      </c>
      <c r="L49" s="38">
        <f t="shared" si="12"/>
        <v>1995.6625252869831</v>
      </c>
      <c r="M49" s="38">
        <f t="shared" si="13"/>
        <v>399.1325050573966</v>
      </c>
      <c r="N49" s="38">
        <f t="shared" si="13"/>
        <v>399.1325050573966</v>
      </c>
      <c r="O49" s="38">
        <f t="shared" si="13"/>
        <v>399.1325050573966</v>
      </c>
      <c r="P49" s="38">
        <f t="shared" si="13"/>
        <v>399.1325050573966</v>
      </c>
      <c r="Q49" s="38">
        <f t="shared" si="13"/>
        <v>399.1325050573966</v>
      </c>
      <c r="R49" s="38">
        <f t="shared" si="14"/>
        <v>997.83126264349153</v>
      </c>
      <c r="S49" s="38">
        <f t="shared" si="14"/>
        <v>997.83126264349153</v>
      </c>
    </row>
    <row r="50" spans="1:19" s="9" customFormat="1" ht="13.2">
      <c r="A50" s="31"/>
      <c r="B50" s="125"/>
      <c r="C50" s="125" t="str">
        <f>+IFERROR(VLOOKUP($B50, 'Services to Beneficiaries'!$B$7:$C$17, 2, 0), " ")</f>
        <v xml:space="preserve"> </v>
      </c>
      <c r="D50" s="103" t="s">
        <v>121</v>
      </c>
      <c r="E50" s="34" t="s">
        <v>432</v>
      </c>
      <c r="F50" s="34">
        <v>1</v>
      </c>
      <c r="G50" s="34" t="s">
        <v>418</v>
      </c>
      <c r="H50" s="34">
        <v>24</v>
      </c>
      <c r="I50" s="34"/>
      <c r="J50" s="35">
        <v>1.72E-2</v>
      </c>
      <c r="K50" s="34">
        <v>4402.9537633738209</v>
      </c>
      <c r="L50" s="38">
        <f t="shared" si="12"/>
        <v>1817.5393135207132</v>
      </c>
      <c r="M50" s="38">
        <f t="shared" si="13"/>
        <v>363.50786270414267</v>
      </c>
      <c r="N50" s="38">
        <f t="shared" si="13"/>
        <v>363.50786270414267</v>
      </c>
      <c r="O50" s="38">
        <f t="shared" si="13"/>
        <v>363.50786270414267</v>
      </c>
      <c r="P50" s="38">
        <f t="shared" si="13"/>
        <v>363.50786270414267</v>
      </c>
      <c r="Q50" s="38">
        <f t="shared" si="13"/>
        <v>363.50786270414267</v>
      </c>
      <c r="R50" s="38">
        <f t="shared" si="14"/>
        <v>908.76965676035661</v>
      </c>
      <c r="S50" s="38">
        <f t="shared" si="14"/>
        <v>908.76965676035661</v>
      </c>
    </row>
    <row r="51" spans="1:19" s="9" customFormat="1" ht="13.2">
      <c r="A51" s="31"/>
      <c r="B51" s="125"/>
      <c r="C51" s="125" t="str">
        <f>+IFERROR(VLOOKUP($B51, 'Services to Beneficiaries'!$B$7:$C$17, 2, 0), " ")</f>
        <v xml:space="preserve"> </v>
      </c>
      <c r="D51" s="103" t="s">
        <v>123</v>
      </c>
      <c r="E51" s="34" t="s">
        <v>433</v>
      </c>
      <c r="F51" s="34">
        <v>1</v>
      </c>
      <c r="G51" s="34" t="s">
        <v>418</v>
      </c>
      <c r="H51" s="34">
        <v>24</v>
      </c>
      <c r="I51" s="34"/>
      <c r="J51" s="35">
        <v>1.72E-2</v>
      </c>
      <c r="K51" s="34">
        <v>5733.4132010511339</v>
      </c>
      <c r="L51" s="38">
        <f t="shared" si="12"/>
        <v>2366.7529693939082</v>
      </c>
      <c r="M51" s="38">
        <f t="shared" si="13"/>
        <v>473.35059387878164</v>
      </c>
      <c r="N51" s="38">
        <f t="shared" si="13"/>
        <v>473.35059387878164</v>
      </c>
      <c r="O51" s="38">
        <f t="shared" si="13"/>
        <v>473.35059387878164</v>
      </c>
      <c r="P51" s="38">
        <f t="shared" si="13"/>
        <v>473.35059387878164</v>
      </c>
      <c r="Q51" s="38">
        <f t="shared" si="13"/>
        <v>473.35059387878164</v>
      </c>
      <c r="R51" s="38">
        <f t="shared" si="14"/>
        <v>1183.3764846969541</v>
      </c>
      <c r="S51" s="38">
        <f t="shared" si="14"/>
        <v>1183.3764846969541</v>
      </c>
    </row>
    <row r="52" spans="1:19" s="9" customFormat="1" ht="13.2">
      <c r="A52" s="31"/>
      <c r="B52" s="125"/>
      <c r="C52" s="125" t="str">
        <f>+IFERROR(VLOOKUP($B52, 'Services to Beneficiaries'!$B$7:$C$17, 2, 0), " ")</f>
        <v xml:space="preserve"> </v>
      </c>
      <c r="D52" s="103" t="s">
        <v>125</v>
      </c>
      <c r="E52" s="34" t="s">
        <v>434</v>
      </c>
      <c r="F52" s="34">
        <v>1</v>
      </c>
      <c r="G52" s="34" t="s">
        <v>418</v>
      </c>
      <c r="H52" s="34">
        <v>24</v>
      </c>
      <c r="I52" s="34"/>
      <c r="J52" s="35">
        <v>1.72E-2</v>
      </c>
      <c r="K52" s="34">
        <v>1920.7014748015531</v>
      </c>
      <c r="L52" s="38">
        <f t="shared" si="12"/>
        <v>792.86556879808109</v>
      </c>
      <c r="M52" s="38">
        <f t="shared" ref="M52:Q61" si="15">$L52/5</f>
        <v>158.57311375961621</v>
      </c>
      <c r="N52" s="38">
        <f t="shared" si="15"/>
        <v>158.57311375961621</v>
      </c>
      <c r="O52" s="38">
        <f t="shared" si="15"/>
        <v>158.57311375961621</v>
      </c>
      <c r="P52" s="38">
        <f t="shared" si="15"/>
        <v>158.57311375961621</v>
      </c>
      <c r="Q52" s="38">
        <f t="shared" si="15"/>
        <v>158.57311375961621</v>
      </c>
      <c r="R52" s="38">
        <f t="shared" si="14"/>
        <v>396.43278439904054</v>
      </c>
      <c r="S52" s="38">
        <f t="shared" si="14"/>
        <v>396.43278439904054</v>
      </c>
    </row>
    <row r="53" spans="1:19" s="9" customFormat="1" ht="13.2">
      <c r="A53" s="31"/>
      <c r="B53" s="125"/>
      <c r="C53" s="125" t="str">
        <f>+IFERROR(VLOOKUP($B53, 'Services to Beneficiaries'!$B$7:$C$17, 2, 0), " ")</f>
        <v xml:space="preserve"> </v>
      </c>
      <c r="D53" s="103" t="s">
        <v>127</v>
      </c>
      <c r="E53" s="34" t="s">
        <v>435</v>
      </c>
      <c r="F53" s="34">
        <v>1</v>
      </c>
      <c r="G53" s="34" t="s">
        <v>418</v>
      </c>
      <c r="H53" s="34">
        <v>24</v>
      </c>
      <c r="I53" s="34"/>
      <c r="J53" s="35">
        <v>1.72E-2</v>
      </c>
      <c r="K53" s="34">
        <v>2879.9460083442609</v>
      </c>
      <c r="L53" s="38">
        <f t="shared" si="12"/>
        <v>1188.841712244511</v>
      </c>
      <c r="M53" s="38">
        <f t="shared" si="15"/>
        <v>237.76834244890219</v>
      </c>
      <c r="N53" s="38">
        <f t="shared" si="15"/>
        <v>237.76834244890219</v>
      </c>
      <c r="O53" s="38">
        <f t="shared" si="15"/>
        <v>237.76834244890219</v>
      </c>
      <c r="P53" s="38">
        <f t="shared" si="15"/>
        <v>237.76834244890219</v>
      </c>
      <c r="Q53" s="38">
        <f t="shared" si="15"/>
        <v>237.76834244890219</v>
      </c>
      <c r="R53" s="38">
        <f t="shared" si="14"/>
        <v>594.42085612225549</v>
      </c>
      <c r="S53" s="38">
        <f t="shared" si="14"/>
        <v>594.42085612225549</v>
      </c>
    </row>
    <row r="54" spans="1:19" s="9" customFormat="1" ht="13.2">
      <c r="A54" s="31"/>
      <c r="B54" s="125"/>
      <c r="C54" s="125" t="str">
        <f>+IFERROR(VLOOKUP($B54, 'Services to Beneficiaries'!$B$7:$C$17, 2, 0), " ")</f>
        <v xml:space="preserve"> </v>
      </c>
      <c r="D54" s="103" t="s">
        <v>129</v>
      </c>
      <c r="E54" s="34" t="s">
        <v>436</v>
      </c>
      <c r="F54" s="34">
        <v>1</v>
      </c>
      <c r="G54" s="34" t="s">
        <v>418</v>
      </c>
      <c r="H54" s="34">
        <v>24</v>
      </c>
      <c r="I54" s="34"/>
      <c r="J54" s="35">
        <v>1.72E-2</v>
      </c>
      <c r="K54" s="34">
        <v>2777.9415676349599</v>
      </c>
      <c r="L54" s="38">
        <f t="shared" si="12"/>
        <v>1146.7342791197116</v>
      </c>
      <c r="M54" s="38">
        <f t="shared" si="15"/>
        <v>229.34685582394232</v>
      </c>
      <c r="N54" s="38">
        <f t="shared" si="15"/>
        <v>229.34685582394232</v>
      </c>
      <c r="O54" s="38">
        <f t="shared" si="15"/>
        <v>229.34685582394232</v>
      </c>
      <c r="P54" s="38">
        <f t="shared" si="15"/>
        <v>229.34685582394232</v>
      </c>
      <c r="Q54" s="38">
        <f t="shared" si="15"/>
        <v>229.34685582394232</v>
      </c>
      <c r="R54" s="38">
        <f t="shared" si="14"/>
        <v>573.36713955985579</v>
      </c>
      <c r="S54" s="38">
        <f t="shared" si="14"/>
        <v>573.36713955985579</v>
      </c>
    </row>
    <row r="55" spans="1:19" s="9" customFormat="1" ht="13.2">
      <c r="A55" s="31"/>
      <c r="B55" s="125"/>
      <c r="C55" s="125" t="str">
        <f>+IFERROR(VLOOKUP($B55, 'Services to Beneficiaries'!$B$7:$C$17, 2, 0), " ")</f>
        <v xml:space="preserve"> </v>
      </c>
      <c r="D55" s="103" t="s">
        <v>381</v>
      </c>
      <c r="E55" s="34" t="s">
        <v>437</v>
      </c>
      <c r="F55" s="34">
        <v>1</v>
      </c>
      <c r="G55" s="34" t="s">
        <v>418</v>
      </c>
      <c r="H55" s="34">
        <v>24</v>
      </c>
      <c r="I55" s="34"/>
      <c r="J55" s="35">
        <v>1.72E-2</v>
      </c>
      <c r="K55" s="34">
        <v>14485.581152506882</v>
      </c>
      <c r="L55" s="38">
        <f t="shared" si="12"/>
        <v>5979.6478997548411</v>
      </c>
      <c r="M55" s="38">
        <f t="shared" si="15"/>
        <v>1195.9295799509682</v>
      </c>
      <c r="N55" s="38">
        <f t="shared" si="15"/>
        <v>1195.9295799509682</v>
      </c>
      <c r="O55" s="38">
        <f t="shared" si="15"/>
        <v>1195.9295799509682</v>
      </c>
      <c r="P55" s="38">
        <f t="shared" si="15"/>
        <v>1195.9295799509682</v>
      </c>
      <c r="Q55" s="38">
        <f t="shared" si="15"/>
        <v>1195.9295799509682</v>
      </c>
      <c r="R55" s="38">
        <f t="shared" si="14"/>
        <v>2989.8239498774205</v>
      </c>
      <c r="S55" s="38">
        <f t="shared" si="14"/>
        <v>2989.8239498774205</v>
      </c>
    </row>
    <row r="56" spans="1:19" s="9" customFormat="1" ht="13.2">
      <c r="A56" s="31"/>
      <c r="B56" s="125"/>
      <c r="C56" s="125" t="str">
        <f>+IFERROR(VLOOKUP($B56, 'Services to Beneficiaries'!$B$7:$C$17, 2, 0), " ")</f>
        <v xml:space="preserve"> </v>
      </c>
      <c r="D56" s="103" t="s">
        <v>438</v>
      </c>
      <c r="E56" s="34" t="s">
        <v>439</v>
      </c>
      <c r="F56" s="34">
        <v>1</v>
      </c>
      <c r="G56" s="34" t="s">
        <v>418</v>
      </c>
      <c r="H56" s="34">
        <v>24</v>
      </c>
      <c r="I56" s="34"/>
      <c r="J56" s="35">
        <v>1.72E-2</v>
      </c>
      <c r="K56" s="34">
        <v>14203.877990875821</v>
      </c>
      <c r="L56" s="38">
        <f t="shared" si="12"/>
        <v>5863.3608346335386</v>
      </c>
      <c r="M56" s="38">
        <f t="shared" si="15"/>
        <v>1172.6721669267076</v>
      </c>
      <c r="N56" s="38">
        <f t="shared" si="15"/>
        <v>1172.6721669267076</v>
      </c>
      <c r="O56" s="38">
        <f t="shared" si="15"/>
        <v>1172.6721669267076</v>
      </c>
      <c r="P56" s="38">
        <f t="shared" si="15"/>
        <v>1172.6721669267076</v>
      </c>
      <c r="Q56" s="38">
        <f t="shared" si="15"/>
        <v>1172.6721669267076</v>
      </c>
      <c r="R56" s="38">
        <f t="shared" si="14"/>
        <v>2931.6804173167693</v>
      </c>
      <c r="S56" s="38">
        <f t="shared" si="14"/>
        <v>2931.6804173167693</v>
      </c>
    </row>
    <row r="57" spans="1:19" s="9" customFormat="1" ht="13.2">
      <c r="A57" s="31"/>
      <c r="B57" s="125"/>
      <c r="C57" s="125" t="str">
        <f>+IFERROR(VLOOKUP($B57, 'Services to Beneficiaries'!$B$7:$C$17, 2, 0), " ")</f>
        <v xml:space="preserve"> </v>
      </c>
      <c r="D57" s="103" t="s">
        <v>440</v>
      </c>
      <c r="E57" s="34" t="s">
        <v>441</v>
      </c>
      <c r="F57" s="34">
        <v>1</v>
      </c>
      <c r="G57" s="34" t="s">
        <v>418</v>
      </c>
      <c r="H57" s="34">
        <v>24</v>
      </c>
      <c r="I57" s="34"/>
      <c r="J57" s="35">
        <v>1.72E-2</v>
      </c>
      <c r="K57" s="34">
        <v>5672.4575043350933</v>
      </c>
      <c r="L57" s="38">
        <f t="shared" si="12"/>
        <v>2341.5904577895267</v>
      </c>
      <c r="M57" s="38">
        <f t="shared" si="15"/>
        <v>468.31809155790535</v>
      </c>
      <c r="N57" s="38">
        <f t="shared" si="15"/>
        <v>468.31809155790535</v>
      </c>
      <c r="O57" s="38">
        <f t="shared" si="15"/>
        <v>468.31809155790535</v>
      </c>
      <c r="P57" s="38">
        <f t="shared" si="15"/>
        <v>468.31809155790535</v>
      </c>
      <c r="Q57" s="38">
        <f t="shared" si="15"/>
        <v>468.31809155790535</v>
      </c>
      <c r="R57" s="38">
        <f t="shared" si="14"/>
        <v>1170.7952288947633</v>
      </c>
      <c r="S57" s="38">
        <f t="shared" si="14"/>
        <v>1170.7952288947633</v>
      </c>
    </row>
    <row r="58" spans="1:19" s="9" customFormat="1" ht="13.2">
      <c r="A58" s="31"/>
      <c r="B58" s="125"/>
      <c r="C58" s="125" t="str">
        <f>+IFERROR(VLOOKUP($B58, 'Services to Beneficiaries'!$B$7:$C$17, 2, 0), " ")</f>
        <v xml:space="preserve"> </v>
      </c>
      <c r="D58" s="103" t="s">
        <v>442</v>
      </c>
      <c r="E58" s="34" t="s">
        <v>443</v>
      </c>
      <c r="F58" s="34">
        <v>1</v>
      </c>
      <c r="G58" s="34" t="s">
        <v>418</v>
      </c>
      <c r="H58" s="34">
        <v>24</v>
      </c>
      <c r="I58" s="34"/>
      <c r="J58" s="35">
        <v>1.72E-2</v>
      </c>
      <c r="K58" s="34">
        <v>4515.4055993021266</v>
      </c>
      <c r="L58" s="38">
        <f t="shared" si="12"/>
        <v>1863.9594313919179</v>
      </c>
      <c r="M58" s="38">
        <f t="shared" si="15"/>
        <v>372.79188627838357</v>
      </c>
      <c r="N58" s="38">
        <f t="shared" si="15"/>
        <v>372.79188627838357</v>
      </c>
      <c r="O58" s="38">
        <f t="shared" si="15"/>
        <v>372.79188627838357</v>
      </c>
      <c r="P58" s="38">
        <f t="shared" si="15"/>
        <v>372.79188627838357</v>
      </c>
      <c r="Q58" s="38">
        <f t="shared" si="15"/>
        <v>372.79188627838357</v>
      </c>
      <c r="R58" s="38">
        <f t="shared" si="14"/>
        <v>931.97971569595893</v>
      </c>
      <c r="S58" s="38">
        <f t="shared" si="14"/>
        <v>931.97971569595893</v>
      </c>
    </row>
    <row r="59" spans="1:19" s="9" customFormat="1" ht="13.2">
      <c r="A59" s="31"/>
      <c r="B59" s="125"/>
      <c r="C59" s="125" t="str">
        <f>+IFERROR(VLOOKUP($B59, 'Services to Beneficiaries'!$B$7:$C$17, 2, 0), " ")</f>
        <v xml:space="preserve"> </v>
      </c>
      <c r="D59" s="103" t="s">
        <v>444</v>
      </c>
      <c r="E59" s="34" t="s">
        <v>445</v>
      </c>
      <c r="F59" s="34">
        <v>1</v>
      </c>
      <c r="G59" s="34" t="s">
        <v>418</v>
      </c>
      <c r="H59" s="34">
        <v>24</v>
      </c>
      <c r="I59" s="34"/>
      <c r="J59" s="35">
        <v>1.72E-2</v>
      </c>
      <c r="K59" s="34">
        <v>6948.8433584593831</v>
      </c>
      <c r="L59" s="38">
        <f t="shared" si="12"/>
        <v>2868.4825383720336</v>
      </c>
      <c r="M59" s="38">
        <f t="shared" si="15"/>
        <v>573.69650767440669</v>
      </c>
      <c r="N59" s="38">
        <f t="shared" si="15"/>
        <v>573.69650767440669</v>
      </c>
      <c r="O59" s="38">
        <f t="shared" si="15"/>
        <v>573.69650767440669</v>
      </c>
      <c r="P59" s="38">
        <f t="shared" si="15"/>
        <v>573.69650767440669</v>
      </c>
      <c r="Q59" s="38">
        <f t="shared" si="15"/>
        <v>573.69650767440669</v>
      </c>
      <c r="R59" s="38">
        <f t="shared" si="14"/>
        <v>1434.2412691860168</v>
      </c>
      <c r="S59" s="38">
        <f t="shared" si="14"/>
        <v>1434.2412691860168</v>
      </c>
    </row>
    <row r="60" spans="1:19" s="9" customFormat="1" ht="13.2">
      <c r="A60" s="31"/>
      <c r="B60" s="125"/>
      <c r="C60" s="125" t="str">
        <f>+IFERROR(VLOOKUP($B60, 'Services to Beneficiaries'!$B$7:$C$17, 2, 0), " ")</f>
        <v xml:space="preserve"> </v>
      </c>
      <c r="D60" s="103" t="s">
        <v>446</v>
      </c>
      <c r="E60" s="34" t="s">
        <v>447</v>
      </c>
      <c r="F60" s="34">
        <v>1</v>
      </c>
      <c r="G60" s="34" t="s">
        <v>418</v>
      </c>
      <c r="H60" s="34">
        <v>24</v>
      </c>
      <c r="I60" s="34"/>
      <c r="J60" s="35">
        <v>1.72E-2</v>
      </c>
      <c r="K60" s="34">
        <v>2617.0519193607774</v>
      </c>
      <c r="L60" s="38">
        <f t="shared" si="12"/>
        <v>1080.3190323121289</v>
      </c>
      <c r="M60" s="38">
        <f t="shared" si="15"/>
        <v>216.06380646242579</v>
      </c>
      <c r="N60" s="38">
        <f t="shared" si="15"/>
        <v>216.06380646242579</v>
      </c>
      <c r="O60" s="38">
        <f t="shared" si="15"/>
        <v>216.06380646242579</v>
      </c>
      <c r="P60" s="38">
        <f t="shared" si="15"/>
        <v>216.06380646242579</v>
      </c>
      <c r="Q60" s="38">
        <f t="shared" si="15"/>
        <v>216.06380646242579</v>
      </c>
      <c r="R60" s="38">
        <f t="shared" si="14"/>
        <v>540.15951615606446</v>
      </c>
      <c r="S60" s="38">
        <f t="shared" si="14"/>
        <v>540.15951615606446</v>
      </c>
    </row>
    <row r="61" spans="1:19" s="9" customFormat="1" ht="13.2">
      <c r="A61" s="31"/>
      <c r="B61" s="125"/>
      <c r="C61" s="125" t="str">
        <f>+IFERROR(VLOOKUP($B61, 'Services to Beneficiaries'!$B$7:$C$17, 2, 0), " ")</f>
        <v xml:space="preserve"> </v>
      </c>
      <c r="D61" s="32" t="s">
        <v>448</v>
      </c>
      <c r="E61" s="34" t="s">
        <v>449</v>
      </c>
      <c r="F61" s="34">
        <v>1</v>
      </c>
      <c r="G61" s="34" t="s">
        <v>418</v>
      </c>
      <c r="H61" s="34">
        <v>24</v>
      </c>
      <c r="I61" s="34"/>
      <c r="J61" s="35">
        <v>1.72E-2</v>
      </c>
      <c r="K61" s="34">
        <v>1633.4863549387612</v>
      </c>
      <c r="L61" s="38">
        <f t="shared" si="12"/>
        <v>674.30316731872063</v>
      </c>
      <c r="M61" s="38">
        <f t="shared" si="15"/>
        <v>134.86063346374414</v>
      </c>
      <c r="N61" s="38">
        <f t="shared" si="15"/>
        <v>134.86063346374414</v>
      </c>
      <c r="O61" s="38">
        <f t="shared" si="15"/>
        <v>134.86063346374414</v>
      </c>
      <c r="P61" s="38">
        <f t="shared" si="15"/>
        <v>134.86063346374414</v>
      </c>
      <c r="Q61" s="38">
        <f t="shared" si="15"/>
        <v>134.86063346374414</v>
      </c>
      <c r="R61" s="38">
        <f t="shared" si="14"/>
        <v>337.15158365936031</v>
      </c>
      <c r="S61" s="38">
        <f t="shared" si="14"/>
        <v>337.15158365936031</v>
      </c>
    </row>
    <row r="62" spans="1:19" s="176" customFormat="1" ht="13.2">
      <c r="A62" s="9"/>
      <c r="B62" s="172"/>
      <c r="C62" s="172"/>
      <c r="D62" s="172" t="s">
        <v>131</v>
      </c>
      <c r="E62" s="173" t="s">
        <v>132</v>
      </c>
      <c r="F62" s="173"/>
      <c r="G62" s="173"/>
      <c r="H62" s="173"/>
      <c r="I62" s="173"/>
      <c r="J62" s="27"/>
      <c r="K62" s="174"/>
      <c r="L62" s="175">
        <f xml:space="preserve"> SUM(L63, L65)</f>
        <v>48578.518267706706</v>
      </c>
      <c r="M62" s="175">
        <f t="shared" ref="M62:S62" si="16" xml:space="preserve"> SUM(M63, M65)</f>
        <v>9715.7036535413408</v>
      </c>
      <c r="N62" s="175">
        <f t="shared" si="16"/>
        <v>9715.7036535413408</v>
      </c>
      <c r="O62" s="175">
        <f t="shared" si="16"/>
        <v>9715.7036535413408</v>
      </c>
      <c r="P62" s="175">
        <f t="shared" si="16"/>
        <v>9715.7036535413408</v>
      </c>
      <c r="Q62" s="175">
        <f t="shared" si="16"/>
        <v>9715.7036535413408</v>
      </c>
      <c r="R62" s="175">
        <f t="shared" si="16"/>
        <v>24289.259133853353</v>
      </c>
      <c r="S62" s="175">
        <f t="shared" si="16"/>
        <v>24289.259133853353</v>
      </c>
    </row>
    <row r="63" spans="1:19" s="39" customFormat="1" ht="13.2">
      <c r="B63" s="40"/>
      <c r="C63" s="40"/>
      <c r="D63" s="40" t="s">
        <v>450</v>
      </c>
      <c r="E63" s="40" t="s">
        <v>134</v>
      </c>
      <c r="F63" s="40"/>
      <c r="G63" s="40"/>
      <c r="H63" s="40"/>
      <c r="I63" s="40"/>
      <c r="J63" s="42"/>
      <c r="K63" s="40"/>
      <c r="L63" s="44">
        <f t="shared" ref="L63:S63" si="17">SUM(L64:L64)</f>
        <v>48578.518267706706</v>
      </c>
      <c r="M63" s="44">
        <f t="shared" si="17"/>
        <v>9715.7036535413408</v>
      </c>
      <c r="N63" s="44">
        <f t="shared" si="17"/>
        <v>9715.7036535413408</v>
      </c>
      <c r="O63" s="44">
        <f t="shared" si="17"/>
        <v>9715.7036535413408</v>
      </c>
      <c r="P63" s="44">
        <f t="shared" si="17"/>
        <v>9715.7036535413408</v>
      </c>
      <c r="Q63" s="44">
        <f t="shared" si="17"/>
        <v>9715.7036535413408</v>
      </c>
      <c r="R63" s="44">
        <f t="shared" si="17"/>
        <v>24289.259133853353</v>
      </c>
      <c r="S63" s="44">
        <f t="shared" si="17"/>
        <v>24289.259133853353</v>
      </c>
    </row>
    <row r="64" spans="1:19" s="9" customFormat="1" ht="13.2">
      <c r="A64" s="177"/>
      <c r="B64" s="125"/>
      <c r="C64" s="125" t="str">
        <f>+IFERROR(VLOOKUP($B64, 'Services to Beneficiaries'!$B$7:$C$17, 2, 0), " ")</f>
        <v xml:space="preserve"> </v>
      </c>
      <c r="D64" s="32" t="s">
        <v>133</v>
      </c>
      <c r="E64" s="34" t="s">
        <v>451</v>
      </c>
      <c r="F64" s="34">
        <v>1</v>
      </c>
      <c r="G64" s="34" t="s">
        <v>418</v>
      </c>
      <c r="H64" s="34">
        <v>24</v>
      </c>
      <c r="I64" s="34"/>
      <c r="J64" s="107">
        <v>4.4999999999999991E-2</v>
      </c>
      <c r="K64" s="34">
        <v>44980.109507135843</v>
      </c>
      <c r="L64" s="38">
        <f>+H64*J64*K64*F64</f>
        <v>48578.518267706706</v>
      </c>
      <c r="M64" s="38">
        <f>$L64/5</f>
        <v>9715.7036535413408</v>
      </c>
      <c r="N64" s="38">
        <f>$L64/5</f>
        <v>9715.7036535413408</v>
      </c>
      <c r="O64" s="38">
        <f>$L64/5</f>
        <v>9715.7036535413408</v>
      </c>
      <c r="P64" s="38">
        <f>$L64/5</f>
        <v>9715.7036535413408</v>
      </c>
      <c r="Q64" s="38">
        <f>$L64/5</f>
        <v>9715.7036535413408</v>
      </c>
      <c r="R64" s="38">
        <f>$L64/2</f>
        <v>24289.259133853353</v>
      </c>
      <c r="S64" s="38">
        <f>$L64/2</f>
        <v>24289.259133853353</v>
      </c>
    </row>
    <row r="65" spans="1:19" s="39" customFormat="1" ht="13.2">
      <c r="B65" s="40"/>
      <c r="C65" s="40"/>
      <c r="D65" s="40" t="s">
        <v>137</v>
      </c>
      <c r="E65" s="40" t="s">
        <v>138</v>
      </c>
      <c r="F65" s="40"/>
      <c r="G65" s="40"/>
      <c r="H65" s="40"/>
      <c r="I65" s="40"/>
      <c r="J65" s="42"/>
      <c r="K65" s="40"/>
      <c r="L65" s="44">
        <f t="shared" ref="L65:S65" si="18">SUM(L66:L66)</f>
        <v>0</v>
      </c>
      <c r="M65" s="44">
        <f t="shared" si="18"/>
        <v>0</v>
      </c>
      <c r="N65" s="44">
        <f t="shared" si="18"/>
        <v>0</v>
      </c>
      <c r="O65" s="44">
        <f t="shared" si="18"/>
        <v>0</v>
      </c>
      <c r="P65" s="44">
        <f t="shared" si="18"/>
        <v>0</v>
      </c>
      <c r="Q65" s="44">
        <f t="shared" si="18"/>
        <v>0</v>
      </c>
      <c r="R65" s="44">
        <f t="shared" si="18"/>
        <v>0</v>
      </c>
      <c r="S65" s="44">
        <f t="shared" si="18"/>
        <v>0</v>
      </c>
    </row>
    <row r="66" spans="1:19" s="9" customFormat="1" ht="13.2">
      <c r="A66" s="31"/>
      <c r="B66" s="125"/>
      <c r="C66" s="125" t="str">
        <f>+IFERROR(VLOOKUP($B66, 'Services to Beneficiaries'!$B$7:$C$17, 2, 0), " ")</f>
        <v xml:space="preserve"> </v>
      </c>
      <c r="D66" s="32" t="s">
        <v>139</v>
      </c>
      <c r="E66" s="34"/>
      <c r="F66" s="34"/>
      <c r="G66" s="34"/>
      <c r="H66" s="34"/>
      <c r="I66" s="34"/>
      <c r="J66" s="35"/>
      <c r="K66" s="34">
        <v>0</v>
      </c>
      <c r="L66" s="38">
        <f>+H66*J66*K66*F66</f>
        <v>0</v>
      </c>
      <c r="M66" s="38">
        <f>$L66/5</f>
        <v>0</v>
      </c>
      <c r="N66" s="38">
        <f>$L66/5</f>
        <v>0</v>
      </c>
      <c r="O66" s="38">
        <f>$L66/5</f>
        <v>0</v>
      </c>
      <c r="P66" s="38">
        <f>$L66/5</f>
        <v>0</v>
      </c>
      <c r="Q66" s="38">
        <f>$L66/5</f>
        <v>0</v>
      </c>
      <c r="R66" s="38">
        <f>$L66/2</f>
        <v>0</v>
      </c>
      <c r="S66" s="38">
        <f>$L66/2</f>
        <v>0</v>
      </c>
    </row>
    <row r="67" spans="1:19" s="176" customFormat="1" ht="13.2">
      <c r="A67" s="9"/>
      <c r="B67" s="172"/>
      <c r="C67" s="172"/>
      <c r="D67" s="172" t="s">
        <v>140</v>
      </c>
      <c r="E67" s="173" t="s">
        <v>141</v>
      </c>
      <c r="F67" s="173"/>
      <c r="G67" s="173"/>
      <c r="H67" s="173"/>
      <c r="I67" s="173"/>
      <c r="J67" s="27"/>
      <c r="K67" s="174"/>
      <c r="L67" s="175">
        <f t="shared" ref="L67:S67" si="19">SUM(L68, L72)</f>
        <v>52896.67</v>
      </c>
      <c r="M67" s="175">
        <f t="shared" si="19"/>
        <v>10579.333999999999</v>
      </c>
      <c r="N67" s="175">
        <f t="shared" si="19"/>
        <v>10579.333999999999</v>
      </c>
      <c r="O67" s="175">
        <f t="shared" si="19"/>
        <v>10579.333999999999</v>
      </c>
      <c r="P67" s="175">
        <f t="shared" si="19"/>
        <v>10579.333999999999</v>
      </c>
      <c r="Q67" s="175">
        <f t="shared" si="19"/>
        <v>10579.333999999999</v>
      </c>
      <c r="R67" s="175">
        <f t="shared" si="19"/>
        <v>26448.334999999999</v>
      </c>
      <c r="S67" s="175">
        <f t="shared" si="19"/>
        <v>26448.334999999999</v>
      </c>
    </row>
    <row r="68" spans="1:19" s="39" customFormat="1" ht="13.2">
      <c r="B68" s="40"/>
      <c r="C68" s="40"/>
      <c r="D68" s="40" t="s">
        <v>142</v>
      </c>
      <c r="E68" s="40" t="s">
        <v>143</v>
      </c>
      <c r="F68" s="40"/>
      <c r="G68" s="40"/>
      <c r="H68" s="40"/>
      <c r="I68" s="40"/>
      <c r="J68" s="42"/>
      <c r="K68" s="40"/>
      <c r="L68" s="44">
        <f t="shared" ref="L68:S68" si="20">SUM(L69:L71)</f>
        <v>31966.77</v>
      </c>
      <c r="M68" s="44">
        <f t="shared" si="20"/>
        <v>6393.3539999999994</v>
      </c>
      <c r="N68" s="44">
        <f t="shared" si="20"/>
        <v>6393.3539999999994</v>
      </c>
      <c r="O68" s="44">
        <f t="shared" si="20"/>
        <v>6393.3539999999994</v>
      </c>
      <c r="P68" s="44">
        <f t="shared" si="20"/>
        <v>6393.3539999999994</v>
      </c>
      <c r="Q68" s="44">
        <f t="shared" si="20"/>
        <v>6393.3539999999994</v>
      </c>
      <c r="R68" s="44">
        <f t="shared" si="20"/>
        <v>15983.385</v>
      </c>
      <c r="S68" s="44">
        <f t="shared" si="20"/>
        <v>15983.385</v>
      </c>
    </row>
    <row r="69" spans="1:19" s="9" customFormat="1" ht="13.2">
      <c r="A69" s="31"/>
      <c r="B69" s="125"/>
      <c r="C69" s="125" t="str">
        <f>+IFERROR(VLOOKUP($B69, 'Services to Beneficiaries'!$B$7:$C$17, 2, 0), " ")</f>
        <v xml:space="preserve"> </v>
      </c>
      <c r="D69" s="32" t="s">
        <v>142</v>
      </c>
      <c r="E69" s="34" t="s">
        <v>150</v>
      </c>
      <c r="F69" s="34">
        <v>1</v>
      </c>
      <c r="G69" s="34" t="s">
        <v>145</v>
      </c>
      <c r="H69" s="34">
        <v>22</v>
      </c>
      <c r="I69" s="34" t="s">
        <v>146</v>
      </c>
      <c r="J69" s="35">
        <v>0.18</v>
      </c>
      <c r="K69" s="108">
        <v>5975.83</v>
      </c>
      <c r="L69" s="38">
        <v>23664.3</v>
      </c>
      <c r="M69" s="38">
        <f t="shared" ref="M69:Q71" si="21">$L69/5</f>
        <v>4732.8599999999997</v>
      </c>
      <c r="N69" s="38">
        <f t="shared" si="21"/>
        <v>4732.8599999999997</v>
      </c>
      <c r="O69" s="38">
        <f t="shared" si="21"/>
        <v>4732.8599999999997</v>
      </c>
      <c r="P69" s="38">
        <f t="shared" si="21"/>
        <v>4732.8599999999997</v>
      </c>
      <c r="Q69" s="38">
        <f t="shared" si="21"/>
        <v>4732.8599999999997</v>
      </c>
      <c r="R69" s="38">
        <f t="shared" ref="R69:S71" si="22">$L69/2</f>
        <v>11832.15</v>
      </c>
      <c r="S69" s="38">
        <f t="shared" si="22"/>
        <v>11832.15</v>
      </c>
    </row>
    <row r="70" spans="1:19" s="9" customFormat="1" ht="13.2">
      <c r="A70" s="31"/>
      <c r="B70" s="125"/>
      <c r="C70" s="125" t="str">
        <f>+IFERROR(VLOOKUP($B70, 'Services to Beneficiaries'!$B$7:$C$17, 2, 0), " ")</f>
        <v xml:space="preserve"> </v>
      </c>
      <c r="D70" s="32" t="s">
        <v>147</v>
      </c>
      <c r="E70" s="34" t="s">
        <v>144</v>
      </c>
      <c r="F70" s="34">
        <v>1</v>
      </c>
      <c r="G70" s="34" t="s">
        <v>145</v>
      </c>
      <c r="H70" s="34">
        <v>15</v>
      </c>
      <c r="I70" s="34" t="s">
        <v>146</v>
      </c>
      <c r="J70" s="35">
        <v>0.06</v>
      </c>
      <c r="K70" s="108">
        <v>5051.82</v>
      </c>
      <c r="L70" s="38">
        <v>4546.63</v>
      </c>
      <c r="M70" s="38">
        <f t="shared" si="21"/>
        <v>909.32600000000002</v>
      </c>
      <c r="N70" s="38">
        <f t="shared" si="21"/>
        <v>909.32600000000002</v>
      </c>
      <c r="O70" s="38">
        <f t="shared" si="21"/>
        <v>909.32600000000002</v>
      </c>
      <c r="P70" s="38">
        <f t="shared" si="21"/>
        <v>909.32600000000002</v>
      </c>
      <c r="Q70" s="38">
        <f t="shared" si="21"/>
        <v>909.32600000000002</v>
      </c>
      <c r="R70" s="38">
        <f t="shared" si="22"/>
        <v>2273.3150000000001</v>
      </c>
      <c r="S70" s="38">
        <f t="shared" si="22"/>
        <v>2273.3150000000001</v>
      </c>
    </row>
    <row r="71" spans="1:19" s="9" customFormat="1" ht="13.2">
      <c r="A71" s="31"/>
      <c r="B71" s="125"/>
      <c r="C71" s="125" t="str">
        <f>+IFERROR(VLOOKUP($B71, 'Services to Beneficiaries'!$B$7:$C$17, 2, 0), " ")</f>
        <v xml:space="preserve"> </v>
      </c>
      <c r="D71" s="32" t="s">
        <v>149</v>
      </c>
      <c r="E71" s="34" t="s">
        <v>148</v>
      </c>
      <c r="F71" s="34">
        <v>1</v>
      </c>
      <c r="G71" s="34" t="s">
        <v>145</v>
      </c>
      <c r="H71" s="34">
        <v>15</v>
      </c>
      <c r="I71" s="34" t="s">
        <v>146</v>
      </c>
      <c r="J71" s="35">
        <v>0.06</v>
      </c>
      <c r="K71" s="108">
        <v>4173.1499999999996</v>
      </c>
      <c r="L71" s="38">
        <v>3755.84</v>
      </c>
      <c r="M71" s="38">
        <f t="shared" si="21"/>
        <v>751.16800000000001</v>
      </c>
      <c r="N71" s="38">
        <f t="shared" si="21"/>
        <v>751.16800000000001</v>
      </c>
      <c r="O71" s="38">
        <f t="shared" si="21"/>
        <v>751.16800000000001</v>
      </c>
      <c r="P71" s="38">
        <f t="shared" si="21"/>
        <v>751.16800000000001</v>
      </c>
      <c r="Q71" s="38">
        <f t="shared" si="21"/>
        <v>751.16800000000001</v>
      </c>
      <c r="R71" s="38">
        <f t="shared" si="22"/>
        <v>1877.92</v>
      </c>
      <c r="S71" s="38">
        <f t="shared" si="22"/>
        <v>1877.92</v>
      </c>
    </row>
    <row r="72" spans="1:19" s="39" customFormat="1" ht="13.2">
      <c r="B72" s="40"/>
      <c r="C72" s="40"/>
      <c r="D72" s="40" t="s">
        <v>151</v>
      </c>
      <c r="E72" s="40" t="s">
        <v>152</v>
      </c>
      <c r="F72" s="40"/>
      <c r="G72" s="40"/>
      <c r="H72" s="40"/>
      <c r="I72" s="40"/>
      <c r="J72" s="42"/>
      <c r="K72" s="40"/>
      <c r="L72" s="44">
        <f>SUM(L73:L75)</f>
        <v>20929.900000000001</v>
      </c>
      <c r="M72" s="44">
        <f t="shared" ref="M72:S72" si="23">SUM(M73:M75)</f>
        <v>4185.9800000000005</v>
      </c>
      <c r="N72" s="44">
        <f t="shared" si="23"/>
        <v>4185.9800000000005</v>
      </c>
      <c r="O72" s="44">
        <f t="shared" si="23"/>
        <v>4185.9800000000005</v>
      </c>
      <c r="P72" s="44">
        <f t="shared" si="23"/>
        <v>4185.9800000000005</v>
      </c>
      <c r="Q72" s="44">
        <f t="shared" si="23"/>
        <v>4185.9800000000005</v>
      </c>
      <c r="R72" s="44">
        <f t="shared" si="23"/>
        <v>10464.950000000001</v>
      </c>
      <c r="S72" s="44">
        <f t="shared" si="23"/>
        <v>10464.950000000001</v>
      </c>
    </row>
    <row r="73" spans="1:19" s="123" customFormat="1" ht="13.2">
      <c r="A73" s="124"/>
      <c r="B73" s="125"/>
      <c r="C73" s="125" t="str">
        <f>+IFERROR(VLOOKUP($B73, 'Services to Beneficiaries'!$B$7:$C$17, 2, 0), " ")</f>
        <v xml:space="preserve"> </v>
      </c>
      <c r="D73" s="125" t="s">
        <v>153</v>
      </c>
      <c r="E73" s="126" t="s">
        <v>154</v>
      </c>
      <c r="F73" s="126">
        <v>1</v>
      </c>
      <c r="G73" s="126" t="s">
        <v>145</v>
      </c>
      <c r="H73" s="126">
        <v>22</v>
      </c>
      <c r="I73" s="126" t="s">
        <v>146</v>
      </c>
      <c r="J73" s="182">
        <v>0.185</v>
      </c>
      <c r="K73" s="206">
        <v>4054.81</v>
      </c>
      <c r="L73" s="128">
        <v>16503.080000000002</v>
      </c>
      <c r="M73" s="128">
        <f t="shared" ref="M73:Q75" si="24">$L73/5</f>
        <v>3300.6160000000004</v>
      </c>
      <c r="N73" s="128">
        <f t="shared" si="24"/>
        <v>3300.6160000000004</v>
      </c>
      <c r="O73" s="128">
        <f t="shared" si="24"/>
        <v>3300.6160000000004</v>
      </c>
      <c r="P73" s="128">
        <f t="shared" si="24"/>
        <v>3300.6160000000004</v>
      </c>
      <c r="Q73" s="128">
        <f t="shared" si="24"/>
        <v>3300.6160000000004</v>
      </c>
      <c r="R73" s="128">
        <f t="shared" ref="R73:S75" si="25">$L73/2</f>
        <v>8251.5400000000009</v>
      </c>
      <c r="S73" s="128">
        <f t="shared" si="25"/>
        <v>8251.5400000000009</v>
      </c>
    </row>
    <row r="74" spans="1:19" s="123" customFormat="1" ht="13.2">
      <c r="A74" s="124"/>
      <c r="B74" s="125"/>
      <c r="C74" s="125" t="str">
        <f>+IFERROR(VLOOKUP($B74, 'Services to Beneficiaries'!$B$7:$C$17, 2, 0), " ")</f>
        <v xml:space="preserve"> </v>
      </c>
      <c r="D74" s="125" t="s">
        <v>155</v>
      </c>
      <c r="E74" s="126" t="s">
        <v>452</v>
      </c>
      <c r="F74" s="126">
        <v>1</v>
      </c>
      <c r="G74" s="126" t="s">
        <v>145</v>
      </c>
      <c r="H74" s="126">
        <v>15</v>
      </c>
      <c r="I74" s="126" t="s">
        <v>146</v>
      </c>
      <c r="J74" s="182">
        <v>0.06</v>
      </c>
      <c r="K74" s="206">
        <v>4918.6899999999996</v>
      </c>
      <c r="L74" s="128">
        <v>4426.82</v>
      </c>
      <c r="M74" s="128">
        <f t="shared" si="24"/>
        <v>885.36399999999992</v>
      </c>
      <c r="N74" s="128">
        <f t="shared" si="24"/>
        <v>885.36399999999992</v>
      </c>
      <c r="O74" s="128">
        <f t="shared" si="24"/>
        <v>885.36399999999992</v>
      </c>
      <c r="P74" s="128">
        <f t="shared" si="24"/>
        <v>885.36399999999992</v>
      </c>
      <c r="Q74" s="128">
        <f t="shared" si="24"/>
        <v>885.36399999999992</v>
      </c>
      <c r="R74" s="128">
        <f t="shared" si="25"/>
        <v>2213.41</v>
      </c>
      <c r="S74" s="128">
        <f t="shared" si="25"/>
        <v>2213.41</v>
      </c>
    </row>
    <row r="75" spans="1:19" s="9" customFormat="1" ht="13.2">
      <c r="A75" s="31"/>
      <c r="B75" s="125"/>
      <c r="C75" s="125" t="str">
        <f>+IFERROR(VLOOKUP($B75, 'Services to Beneficiaries'!$B$7:$C$17, 2, 0), " ")</f>
        <v xml:space="preserve"> </v>
      </c>
      <c r="D75" s="32" t="s">
        <v>453</v>
      </c>
      <c r="E75" s="34"/>
      <c r="F75" s="34"/>
      <c r="G75" s="34"/>
      <c r="H75" s="34"/>
      <c r="I75" s="34"/>
      <c r="J75" s="35"/>
      <c r="K75" s="34">
        <v>0</v>
      </c>
      <c r="L75" s="38"/>
      <c r="M75" s="38">
        <f t="shared" si="24"/>
        <v>0</v>
      </c>
      <c r="N75" s="38">
        <f t="shared" si="24"/>
        <v>0</v>
      </c>
      <c r="O75" s="38">
        <f t="shared" si="24"/>
        <v>0</v>
      </c>
      <c r="P75" s="38">
        <f t="shared" si="24"/>
        <v>0</v>
      </c>
      <c r="Q75" s="38">
        <f t="shared" si="24"/>
        <v>0</v>
      </c>
      <c r="R75" s="38">
        <f t="shared" si="25"/>
        <v>0</v>
      </c>
      <c r="S75" s="38">
        <f t="shared" si="25"/>
        <v>0</v>
      </c>
    </row>
    <row r="76" spans="1:19" s="169" customFormat="1" ht="15.6">
      <c r="B76" s="170"/>
      <c r="C76" s="170"/>
      <c r="D76" s="170" t="s">
        <v>157</v>
      </c>
      <c r="E76" s="171" t="s">
        <v>158</v>
      </c>
      <c r="F76" s="171"/>
      <c r="G76" s="171"/>
      <c r="H76" s="171"/>
      <c r="I76" s="171"/>
      <c r="J76" s="21"/>
      <c r="K76" s="22"/>
      <c r="L76" s="8">
        <f>SUM(L77,L87,L103,L105,L119)</f>
        <v>139648.82482695466</v>
      </c>
      <c r="M76" s="8">
        <f t="shared" ref="M76:S76" si="26">SUM(M77,M87,M103,M105,M119)</f>
        <v>27929.764965390932</v>
      </c>
      <c r="N76" s="8">
        <f t="shared" si="26"/>
        <v>27929.764965390932</v>
      </c>
      <c r="O76" s="8">
        <f t="shared" si="26"/>
        <v>27929.764965390932</v>
      </c>
      <c r="P76" s="8">
        <f t="shared" si="26"/>
        <v>27929.764965390932</v>
      </c>
      <c r="Q76" s="8">
        <f t="shared" si="26"/>
        <v>27929.764965390932</v>
      </c>
      <c r="R76" s="8">
        <f>SUM(R77,R87,R103,R105,R119)</f>
        <v>69824.41241347733</v>
      </c>
      <c r="S76" s="8">
        <f t="shared" si="26"/>
        <v>69824.41241347733</v>
      </c>
    </row>
    <row r="77" spans="1:19" s="176" customFormat="1" ht="13.2">
      <c r="A77" s="9"/>
      <c r="B77" s="172"/>
      <c r="C77" s="172"/>
      <c r="D77" s="172" t="s">
        <v>159</v>
      </c>
      <c r="E77" s="173" t="s">
        <v>160</v>
      </c>
      <c r="F77" s="173"/>
      <c r="G77" s="173"/>
      <c r="H77" s="173"/>
      <c r="I77" s="173"/>
      <c r="J77" s="27"/>
      <c r="K77" s="174"/>
      <c r="L77" s="175">
        <f t="shared" ref="L77:S77" si="27" xml:space="preserve"> SUM(L78,L82)</f>
        <v>21351.989379912236</v>
      </c>
      <c r="M77" s="175">
        <f t="shared" si="27"/>
        <v>4270.3978759824477</v>
      </c>
      <c r="N77" s="175">
        <f t="shared" si="27"/>
        <v>4270.3978759824477</v>
      </c>
      <c r="O77" s="175">
        <f t="shared" si="27"/>
        <v>4270.3978759824477</v>
      </c>
      <c r="P77" s="175">
        <f t="shared" si="27"/>
        <v>4270.3978759824477</v>
      </c>
      <c r="Q77" s="175">
        <f t="shared" si="27"/>
        <v>4270.3978759824477</v>
      </c>
      <c r="R77" s="175">
        <f xml:space="preserve"> SUM(R78,R82)</f>
        <v>10675.994689956118</v>
      </c>
      <c r="S77" s="175">
        <f t="shared" si="27"/>
        <v>10675.994689956118</v>
      </c>
    </row>
    <row r="78" spans="1:19" s="39" customFormat="1" ht="13.2">
      <c r="B78" s="40"/>
      <c r="C78" s="40"/>
      <c r="D78" s="40" t="s">
        <v>161</v>
      </c>
      <c r="E78" s="40" t="s">
        <v>162</v>
      </c>
      <c r="F78" s="40"/>
      <c r="G78" s="40"/>
      <c r="H78" s="40"/>
      <c r="I78" s="40"/>
      <c r="J78" s="42"/>
      <c r="K78" s="40"/>
      <c r="L78" s="44">
        <f t="shared" ref="L78:S78" si="28">SUM(L79:L81)</f>
        <v>13576.885860223747</v>
      </c>
      <c r="M78" s="44">
        <f t="shared" si="28"/>
        <v>2715.3771720447489</v>
      </c>
      <c r="N78" s="44">
        <f t="shared" si="28"/>
        <v>2715.3771720447489</v>
      </c>
      <c r="O78" s="44">
        <f t="shared" si="28"/>
        <v>2715.3771720447489</v>
      </c>
      <c r="P78" s="44">
        <f t="shared" si="28"/>
        <v>2715.3771720447489</v>
      </c>
      <c r="Q78" s="44">
        <f t="shared" si="28"/>
        <v>2715.3771720447489</v>
      </c>
      <c r="R78" s="44">
        <f t="shared" si="28"/>
        <v>6788.4429301118735</v>
      </c>
      <c r="S78" s="44">
        <f t="shared" si="28"/>
        <v>6788.4429301118735</v>
      </c>
    </row>
    <row r="79" spans="1:19" s="9" customFormat="1" ht="13.2">
      <c r="A79" s="31"/>
      <c r="B79" s="125"/>
      <c r="C79" s="125" t="str">
        <f>+IFERROR(VLOOKUP($B79, 'Services to Beneficiaries'!$B$7:$C$17, 2, 0), " ")</f>
        <v xml:space="preserve"> </v>
      </c>
      <c r="D79" s="32" t="s">
        <v>163</v>
      </c>
      <c r="E79" s="34" t="s">
        <v>454</v>
      </c>
      <c r="F79" s="34">
        <v>1</v>
      </c>
      <c r="G79" s="34" t="s">
        <v>418</v>
      </c>
      <c r="H79" s="34">
        <v>24</v>
      </c>
      <c r="I79" s="34"/>
      <c r="J79" s="35">
        <v>0.51</v>
      </c>
      <c r="K79" s="34">
        <v>395.36650728665541</v>
      </c>
      <c r="L79" s="38">
        <f>+H79*J79*K79*F79</f>
        <v>4839.2860491886622</v>
      </c>
      <c r="M79" s="38">
        <f t="shared" ref="M79:Q81" si="29">$L79/5</f>
        <v>967.8572098377324</v>
      </c>
      <c r="N79" s="38">
        <f t="shared" si="29"/>
        <v>967.8572098377324</v>
      </c>
      <c r="O79" s="38">
        <f t="shared" si="29"/>
        <v>967.8572098377324</v>
      </c>
      <c r="P79" s="38">
        <f t="shared" si="29"/>
        <v>967.8572098377324</v>
      </c>
      <c r="Q79" s="38">
        <f t="shared" si="29"/>
        <v>967.8572098377324</v>
      </c>
      <c r="R79" s="38">
        <f t="shared" ref="R79:S81" si="30">$L79/2</f>
        <v>2419.6430245943311</v>
      </c>
      <c r="S79" s="38">
        <f t="shared" si="30"/>
        <v>2419.6430245943311</v>
      </c>
    </row>
    <row r="80" spans="1:19" s="9" customFormat="1" ht="13.2">
      <c r="A80" s="31"/>
      <c r="B80" s="125"/>
      <c r="C80" s="125" t="str">
        <f>+IFERROR(VLOOKUP($B80, 'Services to Beneficiaries'!$B$7:$C$17, 2, 0), " ")</f>
        <v xml:space="preserve"> </v>
      </c>
      <c r="D80" s="32" t="s">
        <v>167</v>
      </c>
      <c r="E80" s="34" t="s">
        <v>455</v>
      </c>
      <c r="F80" s="34">
        <v>1</v>
      </c>
      <c r="G80" s="34" t="s">
        <v>418</v>
      </c>
      <c r="H80" s="34">
        <v>24</v>
      </c>
      <c r="I80" s="34"/>
      <c r="J80" s="35">
        <v>0.51</v>
      </c>
      <c r="K80" s="34">
        <v>527.15534304887387</v>
      </c>
      <c r="L80" s="38">
        <f>+H80*J80*K80*F80</f>
        <v>6452.3813989182163</v>
      </c>
      <c r="M80" s="38">
        <f t="shared" si="29"/>
        <v>1290.4762797836433</v>
      </c>
      <c r="N80" s="38">
        <f t="shared" si="29"/>
        <v>1290.4762797836433</v>
      </c>
      <c r="O80" s="38">
        <f t="shared" si="29"/>
        <v>1290.4762797836433</v>
      </c>
      <c r="P80" s="38">
        <f t="shared" si="29"/>
        <v>1290.4762797836433</v>
      </c>
      <c r="Q80" s="38">
        <f t="shared" si="29"/>
        <v>1290.4762797836433</v>
      </c>
      <c r="R80" s="38">
        <f t="shared" si="30"/>
        <v>3226.1906994591081</v>
      </c>
      <c r="S80" s="38">
        <f t="shared" si="30"/>
        <v>3226.1906994591081</v>
      </c>
    </row>
    <row r="81" spans="1:19" s="9" customFormat="1" ht="13.2">
      <c r="A81" s="31"/>
      <c r="B81" s="125"/>
      <c r="C81" s="125" t="str">
        <f>+IFERROR(VLOOKUP($B81, 'Services to Beneficiaries'!$B$7:$C$17, 2, 0), " ")</f>
        <v xml:space="preserve"> </v>
      </c>
      <c r="D81" s="32" t="s">
        <v>169</v>
      </c>
      <c r="E81" s="34" t="s">
        <v>456</v>
      </c>
      <c r="F81" s="34">
        <v>1</v>
      </c>
      <c r="G81" s="34" t="s">
        <v>166</v>
      </c>
      <c r="H81" s="34">
        <v>2</v>
      </c>
      <c r="I81" s="34"/>
      <c r="J81" s="35">
        <v>0.51</v>
      </c>
      <c r="K81" s="34">
        <v>2240.4102079577137</v>
      </c>
      <c r="L81" s="38">
        <f>+H81*J81*K81*F81</f>
        <v>2285.218412116868</v>
      </c>
      <c r="M81" s="38">
        <f t="shared" si="29"/>
        <v>457.04368242337358</v>
      </c>
      <c r="N81" s="38">
        <f t="shared" si="29"/>
        <v>457.04368242337358</v>
      </c>
      <c r="O81" s="38">
        <f t="shared" si="29"/>
        <v>457.04368242337358</v>
      </c>
      <c r="P81" s="38">
        <f t="shared" si="29"/>
        <v>457.04368242337358</v>
      </c>
      <c r="Q81" s="38">
        <f t="shared" si="29"/>
        <v>457.04368242337358</v>
      </c>
      <c r="R81" s="38">
        <f t="shared" si="30"/>
        <v>1142.609206058434</v>
      </c>
      <c r="S81" s="38">
        <f t="shared" si="30"/>
        <v>1142.609206058434</v>
      </c>
    </row>
    <row r="82" spans="1:19" s="39" customFormat="1" ht="13.2">
      <c r="B82" s="40"/>
      <c r="C82" s="40"/>
      <c r="D82" s="40" t="s">
        <v>188</v>
      </c>
      <c r="E82" s="40" t="s">
        <v>189</v>
      </c>
      <c r="F82" s="40"/>
      <c r="G82" s="40"/>
      <c r="H82" s="40"/>
      <c r="I82" s="40"/>
      <c r="J82" s="42"/>
      <c r="K82" s="40"/>
      <c r="L82" s="44">
        <f t="shared" ref="L82:S82" si="31">SUM(L83:L86)</f>
        <v>7775.1035196884914</v>
      </c>
      <c r="M82" s="44">
        <f t="shared" si="31"/>
        <v>1555.0207039376983</v>
      </c>
      <c r="N82" s="44">
        <f t="shared" si="31"/>
        <v>1555.0207039376983</v>
      </c>
      <c r="O82" s="44">
        <f t="shared" si="31"/>
        <v>1555.0207039376983</v>
      </c>
      <c r="P82" s="44">
        <f t="shared" si="31"/>
        <v>1555.0207039376983</v>
      </c>
      <c r="Q82" s="44">
        <f t="shared" si="31"/>
        <v>1555.0207039376983</v>
      </c>
      <c r="R82" s="44">
        <f>SUM(R83:R86)</f>
        <v>3887.5517598442457</v>
      </c>
      <c r="S82" s="44">
        <f t="shared" si="31"/>
        <v>3887.5517598442457</v>
      </c>
    </row>
    <row r="83" spans="1:19" s="9" customFormat="1" ht="13.2">
      <c r="A83" s="31"/>
      <c r="B83" s="125"/>
      <c r="C83" s="125" t="str">
        <f>+IFERROR(VLOOKUP($B83, 'Services to Beneficiaries'!$B$7:$C$17, 2, 0), " ")</f>
        <v xml:space="preserve"> </v>
      </c>
      <c r="D83" s="32" t="s">
        <v>190</v>
      </c>
      <c r="E83" s="34" t="s">
        <v>457</v>
      </c>
      <c r="F83" s="34">
        <v>1</v>
      </c>
      <c r="G83" s="34" t="s">
        <v>418</v>
      </c>
      <c r="H83" s="34">
        <v>24</v>
      </c>
      <c r="I83" s="34"/>
      <c r="J83" s="35">
        <v>1.72E-2</v>
      </c>
      <c r="K83" s="34">
        <v>1581.4660291466216</v>
      </c>
      <c r="L83" s="38">
        <f>+H83*J83*K83*F83</f>
        <v>652.82917683172536</v>
      </c>
      <c r="M83" s="38">
        <f t="shared" ref="M83:Q86" si="32">$L83/5</f>
        <v>130.56583536634508</v>
      </c>
      <c r="N83" s="38">
        <f t="shared" si="32"/>
        <v>130.56583536634508</v>
      </c>
      <c r="O83" s="38">
        <f t="shared" si="32"/>
        <v>130.56583536634508</v>
      </c>
      <c r="P83" s="38">
        <f t="shared" si="32"/>
        <v>130.56583536634508</v>
      </c>
      <c r="Q83" s="38">
        <f t="shared" si="32"/>
        <v>130.56583536634508</v>
      </c>
      <c r="R83" s="38">
        <f t="shared" ref="R83:S86" si="33">$L83/2</f>
        <v>326.41458841586268</v>
      </c>
      <c r="S83" s="38">
        <f t="shared" si="33"/>
        <v>326.41458841586268</v>
      </c>
    </row>
    <row r="84" spans="1:19" s="9" customFormat="1" ht="13.2">
      <c r="A84" s="31"/>
      <c r="B84" s="125"/>
      <c r="C84" s="125" t="str">
        <f>+IFERROR(VLOOKUP($B84, 'Services to Beneficiaries'!$B$7:$C$17, 2, 0), " ")</f>
        <v xml:space="preserve"> </v>
      </c>
      <c r="D84" s="32" t="s">
        <v>458</v>
      </c>
      <c r="E84" s="34" t="s">
        <v>455</v>
      </c>
      <c r="F84" s="34">
        <v>1</v>
      </c>
      <c r="G84" s="34" t="s">
        <v>418</v>
      </c>
      <c r="H84" s="34">
        <v>24</v>
      </c>
      <c r="I84" s="34"/>
      <c r="J84" s="35">
        <v>1.72E-2</v>
      </c>
      <c r="K84" s="34">
        <v>9438.6494685615198</v>
      </c>
      <c r="L84" s="38">
        <f>+H84*J84*K84*F84</f>
        <v>3896.2745006221953</v>
      </c>
      <c r="M84" s="38">
        <f t="shared" si="32"/>
        <v>779.25490012443902</v>
      </c>
      <c r="N84" s="38">
        <f t="shared" si="32"/>
        <v>779.25490012443902</v>
      </c>
      <c r="O84" s="38">
        <f t="shared" si="32"/>
        <v>779.25490012443902</v>
      </c>
      <c r="P84" s="38">
        <f t="shared" si="32"/>
        <v>779.25490012443902</v>
      </c>
      <c r="Q84" s="38">
        <f t="shared" si="32"/>
        <v>779.25490012443902</v>
      </c>
      <c r="R84" s="38">
        <f t="shared" si="33"/>
        <v>1948.1372503110977</v>
      </c>
      <c r="S84" s="38">
        <f t="shared" si="33"/>
        <v>1948.1372503110977</v>
      </c>
    </row>
    <row r="85" spans="1:19" s="9" customFormat="1" ht="13.2">
      <c r="A85" s="31"/>
      <c r="B85" s="125"/>
      <c r="C85" s="125" t="str">
        <f>+IFERROR(VLOOKUP($B85, 'Services to Beneficiaries'!$B$7:$C$17, 2, 0), " ")</f>
        <v xml:space="preserve"> </v>
      </c>
      <c r="D85" s="32" t="s">
        <v>459</v>
      </c>
      <c r="E85" s="34" t="s">
        <v>454</v>
      </c>
      <c r="F85" s="34">
        <v>1</v>
      </c>
      <c r="G85" s="34" t="s">
        <v>418</v>
      </c>
      <c r="H85" s="34">
        <v>24</v>
      </c>
      <c r="I85" s="34"/>
      <c r="J85" s="35">
        <v>1.72E-2</v>
      </c>
      <c r="K85" s="34">
        <v>3817.3274136491668</v>
      </c>
      <c r="L85" s="38">
        <f>+H85*J85*K85*F85</f>
        <v>1575.792756354376</v>
      </c>
      <c r="M85" s="38">
        <f t="shared" si="32"/>
        <v>315.15855127087519</v>
      </c>
      <c r="N85" s="38">
        <f t="shared" si="32"/>
        <v>315.15855127087519</v>
      </c>
      <c r="O85" s="38">
        <f t="shared" si="32"/>
        <v>315.15855127087519</v>
      </c>
      <c r="P85" s="38">
        <f t="shared" si="32"/>
        <v>315.15855127087519</v>
      </c>
      <c r="Q85" s="38">
        <f t="shared" si="32"/>
        <v>315.15855127087519</v>
      </c>
      <c r="R85" s="38">
        <f t="shared" si="33"/>
        <v>787.89637817718801</v>
      </c>
      <c r="S85" s="38">
        <f t="shared" si="33"/>
        <v>787.89637817718801</v>
      </c>
    </row>
    <row r="86" spans="1:19" s="9" customFormat="1" ht="13.2">
      <c r="A86" s="31"/>
      <c r="B86" s="125"/>
      <c r="C86" s="125" t="str">
        <f>+IFERROR(VLOOKUP($B86, 'Services to Beneficiaries'!$B$7:$C$17, 2, 0), " ")</f>
        <v xml:space="preserve"> </v>
      </c>
      <c r="D86" s="32" t="s">
        <v>460</v>
      </c>
      <c r="E86" s="34" t="s">
        <v>461</v>
      </c>
      <c r="F86" s="34">
        <v>1</v>
      </c>
      <c r="G86" s="34" t="s">
        <v>418</v>
      </c>
      <c r="H86" s="34">
        <v>24</v>
      </c>
      <c r="I86" s="34"/>
      <c r="J86" s="35">
        <v>1.72E-2</v>
      </c>
      <c r="K86" s="34">
        <v>3997.5946847872933</v>
      </c>
      <c r="L86" s="38">
        <f>+H86*J86*K86*F86</f>
        <v>1650.2070858801947</v>
      </c>
      <c r="M86" s="38">
        <f t="shared" si="32"/>
        <v>330.04141717603892</v>
      </c>
      <c r="N86" s="38">
        <f t="shared" si="32"/>
        <v>330.04141717603892</v>
      </c>
      <c r="O86" s="38">
        <f t="shared" si="32"/>
        <v>330.04141717603892</v>
      </c>
      <c r="P86" s="38">
        <f t="shared" si="32"/>
        <v>330.04141717603892</v>
      </c>
      <c r="Q86" s="38">
        <f t="shared" si="32"/>
        <v>330.04141717603892</v>
      </c>
      <c r="R86" s="38">
        <f t="shared" si="33"/>
        <v>825.10354294009733</v>
      </c>
      <c r="S86" s="38">
        <f t="shared" si="33"/>
        <v>825.10354294009733</v>
      </c>
    </row>
    <row r="87" spans="1:19" s="176" customFormat="1" ht="13.2">
      <c r="A87" s="9"/>
      <c r="B87" s="172"/>
      <c r="C87" s="172"/>
      <c r="D87" s="172" t="s">
        <v>192</v>
      </c>
      <c r="E87" s="173" t="s">
        <v>193</v>
      </c>
      <c r="F87" s="173"/>
      <c r="G87" s="173"/>
      <c r="H87" s="173"/>
      <c r="I87" s="173"/>
      <c r="J87" s="27"/>
      <c r="K87" s="174"/>
      <c r="L87" s="175">
        <f>SUM(L88,L94)</f>
        <v>25237.805101981747</v>
      </c>
      <c r="M87" s="175">
        <f t="shared" ref="M87:S87" si="34">SUM(M88,M94)</f>
        <v>5047.5610203963497</v>
      </c>
      <c r="N87" s="175">
        <f t="shared" si="34"/>
        <v>5047.5610203963497</v>
      </c>
      <c r="O87" s="175">
        <f t="shared" si="34"/>
        <v>5047.5610203963497</v>
      </c>
      <c r="P87" s="175">
        <f t="shared" si="34"/>
        <v>5047.5610203963497</v>
      </c>
      <c r="Q87" s="175">
        <f t="shared" si="34"/>
        <v>5047.5610203963497</v>
      </c>
      <c r="R87" s="175">
        <f t="shared" si="34"/>
        <v>12618.902550990873</v>
      </c>
      <c r="S87" s="175">
        <f t="shared" si="34"/>
        <v>12618.902550990873</v>
      </c>
    </row>
    <row r="88" spans="1:19" s="39" customFormat="1" ht="13.2">
      <c r="A88" s="31"/>
      <c r="B88" s="40"/>
      <c r="C88" s="40"/>
      <c r="D88" s="40" t="s">
        <v>194</v>
      </c>
      <c r="E88" s="40" t="s">
        <v>195</v>
      </c>
      <c r="F88" s="40"/>
      <c r="G88" s="40"/>
      <c r="H88" s="40"/>
      <c r="I88" s="40"/>
      <c r="J88" s="42"/>
      <c r="K88" s="40"/>
      <c r="L88" s="44">
        <f>SUM(L89,L92)</f>
        <v>10531.34</v>
      </c>
      <c r="M88" s="44">
        <f t="shared" ref="M88:S88" si="35">SUM(M89,M92)</f>
        <v>2106.268</v>
      </c>
      <c r="N88" s="44">
        <f t="shared" si="35"/>
        <v>2106.268</v>
      </c>
      <c r="O88" s="44">
        <f t="shared" si="35"/>
        <v>2106.268</v>
      </c>
      <c r="P88" s="44">
        <f t="shared" si="35"/>
        <v>2106.268</v>
      </c>
      <c r="Q88" s="44">
        <f t="shared" si="35"/>
        <v>2106.268</v>
      </c>
      <c r="R88" s="44">
        <f t="shared" si="35"/>
        <v>5265.67</v>
      </c>
      <c r="S88" s="44">
        <f t="shared" si="35"/>
        <v>5265.67</v>
      </c>
    </row>
    <row r="89" spans="1:19" s="9" customFormat="1" ht="13.2">
      <c r="A89" s="31"/>
      <c r="B89" s="45"/>
      <c r="C89" s="45"/>
      <c r="D89" s="45" t="s">
        <v>196</v>
      </c>
      <c r="E89" s="46" t="s">
        <v>197</v>
      </c>
      <c r="F89" s="46"/>
      <c r="G89" s="46"/>
      <c r="H89" s="46"/>
      <c r="I89" s="46"/>
      <c r="J89" s="48"/>
      <c r="K89" s="46"/>
      <c r="L89" s="50">
        <f t="shared" ref="L89:S89" si="36">SUM(L90:L91)</f>
        <v>5448</v>
      </c>
      <c r="M89" s="50">
        <f>SUM(M90:M91)</f>
        <v>1089.5999999999999</v>
      </c>
      <c r="N89" s="50">
        <f t="shared" si="36"/>
        <v>1089.5999999999999</v>
      </c>
      <c r="O89" s="50">
        <f t="shared" si="36"/>
        <v>1089.5999999999999</v>
      </c>
      <c r="P89" s="50">
        <f t="shared" si="36"/>
        <v>1089.5999999999999</v>
      </c>
      <c r="Q89" s="50">
        <f t="shared" si="36"/>
        <v>1089.5999999999999</v>
      </c>
      <c r="R89" s="50">
        <f t="shared" si="36"/>
        <v>2724</v>
      </c>
      <c r="S89" s="50">
        <f t="shared" si="36"/>
        <v>2724</v>
      </c>
    </row>
    <row r="90" spans="1:19" s="9" customFormat="1" ht="13.2">
      <c r="A90" s="31"/>
      <c r="B90" s="125"/>
      <c r="C90" s="125" t="str">
        <f>+IFERROR(VLOOKUP($B90, 'Services to Beneficiaries'!$B$7:$C$17, 2, 0), " ")</f>
        <v xml:space="preserve"> </v>
      </c>
      <c r="D90" s="32"/>
      <c r="E90" s="34" t="s">
        <v>462</v>
      </c>
      <c r="F90" s="34">
        <v>2</v>
      </c>
      <c r="G90" s="34" t="s">
        <v>463</v>
      </c>
      <c r="H90" s="34">
        <v>1</v>
      </c>
      <c r="I90" s="34"/>
      <c r="J90" s="35">
        <v>1</v>
      </c>
      <c r="K90" s="34">
        <v>2724</v>
      </c>
      <c r="L90" s="38">
        <f>+H90*J90*K90*F90</f>
        <v>5448</v>
      </c>
      <c r="M90" s="38">
        <f t="shared" ref="M90:Q91" si="37">$L90/5</f>
        <v>1089.5999999999999</v>
      </c>
      <c r="N90" s="38">
        <f t="shared" si="37"/>
        <v>1089.5999999999999</v>
      </c>
      <c r="O90" s="38">
        <f t="shared" si="37"/>
        <v>1089.5999999999999</v>
      </c>
      <c r="P90" s="38">
        <f t="shared" si="37"/>
        <v>1089.5999999999999</v>
      </c>
      <c r="Q90" s="38">
        <f t="shared" si="37"/>
        <v>1089.5999999999999</v>
      </c>
      <c r="R90" s="38">
        <f>$L90/2</f>
        <v>2724</v>
      </c>
      <c r="S90" s="38">
        <f>$L90/2</f>
        <v>2724</v>
      </c>
    </row>
    <row r="91" spans="1:19" s="9" customFormat="1" ht="13.2">
      <c r="A91" s="31"/>
      <c r="B91" s="125"/>
      <c r="C91" s="125" t="str">
        <f>+IFERROR(VLOOKUP($B91, 'Services to Beneficiaries'!$B$7:$C$17, 2, 0), " ")</f>
        <v xml:space="preserve"> </v>
      </c>
      <c r="D91" s="32"/>
      <c r="E91" s="34"/>
      <c r="F91" s="34"/>
      <c r="G91" s="34"/>
      <c r="H91" s="34"/>
      <c r="I91" s="34"/>
      <c r="J91" s="35"/>
      <c r="K91" s="34"/>
      <c r="L91" s="38"/>
      <c r="M91" s="38">
        <f t="shared" si="37"/>
        <v>0</v>
      </c>
      <c r="N91" s="38">
        <f t="shared" si="37"/>
        <v>0</v>
      </c>
      <c r="O91" s="38">
        <f t="shared" si="37"/>
        <v>0</v>
      </c>
      <c r="P91" s="38">
        <f t="shared" si="37"/>
        <v>0</v>
      </c>
      <c r="Q91" s="38">
        <f t="shared" si="37"/>
        <v>0</v>
      </c>
      <c r="R91" s="38"/>
      <c r="S91" s="38"/>
    </row>
    <row r="92" spans="1:19" s="9" customFormat="1" ht="13.2">
      <c r="A92" s="31"/>
      <c r="B92" s="45"/>
      <c r="C92" s="45"/>
      <c r="D92" s="45" t="s">
        <v>204</v>
      </c>
      <c r="E92" s="46" t="s">
        <v>205</v>
      </c>
      <c r="F92" s="46"/>
      <c r="G92" s="46"/>
      <c r="H92" s="46"/>
      <c r="I92" s="46"/>
      <c r="J92" s="48"/>
      <c r="K92" s="46"/>
      <c r="L92" s="50">
        <f t="shared" ref="L92:S92" si="38">SUM(L93:L93)</f>
        <v>5083.34</v>
      </c>
      <c r="M92" s="50">
        <f t="shared" si="38"/>
        <v>1016.668</v>
      </c>
      <c r="N92" s="50">
        <f t="shared" si="38"/>
        <v>1016.668</v>
      </c>
      <c r="O92" s="50">
        <f t="shared" si="38"/>
        <v>1016.668</v>
      </c>
      <c r="P92" s="50">
        <f t="shared" si="38"/>
        <v>1016.668</v>
      </c>
      <c r="Q92" s="50">
        <f t="shared" si="38"/>
        <v>1016.668</v>
      </c>
      <c r="R92" s="50">
        <f t="shared" si="38"/>
        <v>2541.67</v>
      </c>
      <c r="S92" s="50">
        <f t="shared" si="38"/>
        <v>2541.67</v>
      </c>
    </row>
    <row r="93" spans="1:19" s="9" customFormat="1" ht="13.2">
      <c r="A93" s="31"/>
      <c r="B93" s="125"/>
      <c r="C93" s="125" t="str">
        <f>+IFERROR(VLOOKUP($B93, 'Services to Beneficiaries'!$B$7:$C$17, 2, 0), " ")</f>
        <v xml:space="preserve"> </v>
      </c>
      <c r="D93" s="32" t="s">
        <v>206</v>
      </c>
      <c r="E93" s="34" t="s">
        <v>464</v>
      </c>
      <c r="F93" s="34">
        <v>2</v>
      </c>
      <c r="G93" s="34" t="s">
        <v>463</v>
      </c>
      <c r="H93" s="34">
        <v>1</v>
      </c>
      <c r="I93" s="34"/>
      <c r="J93" s="35">
        <v>1</v>
      </c>
      <c r="K93" s="34">
        <f>2541.67</f>
        <v>2541.67</v>
      </c>
      <c r="L93" s="38">
        <f>+H93*J93*K93*F93</f>
        <v>5083.34</v>
      </c>
      <c r="M93" s="38">
        <f>$L93/5</f>
        <v>1016.668</v>
      </c>
      <c r="N93" s="38">
        <f>$L93/5</f>
        <v>1016.668</v>
      </c>
      <c r="O93" s="38">
        <f>$L93/5</f>
        <v>1016.668</v>
      </c>
      <c r="P93" s="38">
        <f>$L93/5</f>
        <v>1016.668</v>
      </c>
      <c r="Q93" s="38">
        <f>$L93/5</f>
        <v>1016.668</v>
      </c>
      <c r="R93" s="38">
        <f>$L93/2</f>
        <v>2541.67</v>
      </c>
      <c r="S93" s="38">
        <f>$L93/2</f>
        <v>2541.67</v>
      </c>
    </row>
    <row r="94" spans="1:19" s="39" customFormat="1" ht="13.2">
      <c r="B94" s="40"/>
      <c r="C94" s="40"/>
      <c r="D94" s="40" t="s">
        <v>207</v>
      </c>
      <c r="E94" s="40" t="s">
        <v>208</v>
      </c>
      <c r="F94" s="40"/>
      <c r="G94" s="40"/>
      <c r="H94" s="40"/>
      <c r="I94" s="40"/>
      <c r="J94" s="42"/>
      <c r="K94" s="40"/>
      <c r="L94" s="44">
        <f t="shared" ref="L94:S94" si="39">SUM(L95,L98)</f>
        <v>14706.465101981747</v>
      </c>
      <c r="M94" s="44">
        <f t="shared" si="39"/>
        <v>2941.2930203963497</v>
      </c>
      <c r="N94" s="44">
        <f t="shared" si="39"/>
        <v>2941.2930203963497</v>
      </c>
      <c r="O94" s="44">
        <f t="shared" si="39"/>
        <v>2941.2930203963497</v>
      </c>
      <c r="P94" s="44">
        <f t="shared" si="39"/>
        <v>2941.2930203963497</v>
      </c>
      <c r="Q94" s="44">
        <f t="shared" si="39"/>
        <v>2941.2930203963497</v>
      </c>
      <c r="R94" s="44">
        <f t="shared" si="39"/>
        <v>7353.2325509908733</v>
      </c>
      <c r="S94" s="44">
        <f t="shared" si="39"/>
        <v>7353.2325509908733</v>
      </c>
    </row>
    <row r="95" spans="1:19" s="9" customFormat="1" ht="13.2">
      <c r="A95" s="31"/>
      <c r="B95" s="45"/>
      <c r="C95" s="45"/>
      <c r="D95" s="45" t="s">
        <v>209</v>
      </c>
      <c r="E95" s="46" t="s">
        <v>393</v>
      </c>
      <c r="F95" s="46"/>
      <c r="G95" s="46"/>
      <c r="H95" s="46"/>
      <c r="I95" s="46"/>
      <c r="J95" s="48"/>
      <c r="K95" s="46"/>
      <c r="L95" s="50">
        <f t="shared" ref="L95:S95" si="40">SUM(L96:L97)</f>
        <v>6958.4505282451337</v>
      </c>
      <c r="M95" s="50">
        <f t="shared" si="40"/>
        <v>1391.6901056490269</v>
      </c>
      <c r="N95" s="50">
        <f t="shared" si="40"/>
        <v>1391.6901056490269</v>
      </c>
      <c r="O95" s="50">
        <f t="shared" si="40"/>
        <v>1391.6901056490269</v>
      </c>
      <c r="P95" s="50">
        <f t="shared" si="40"/>
        <v>1391.6901056490269</v>
      </c>
      <c r="Q95" s="50">
        <f t="shared" si="40"/>
        <v>1391.6901056490269</v>
      </c>
      <c r="R95" s="50">
        <f t="shared" si="40"/>
        <v>3479.2252641225668</v>
      </c>
      <c r="S95" s="50">
        <f t="shared" si="40"/>
        <v>3479.2252641225668</v>
      </c>
    </row>
    <row r="96" spans="1:19" s="9" customFormat="1" ht="13.2">
      <c r="A96" s="31"/>
      <c r="B96" s="125"/>
      <c r="C96" s="125" t="str">
        <f>+IFERROR(VLOOKUP($B96, 'Services to Beneficiaries'!$B$7:$C$17, 2, 0), " ")</f>
        <v xml:space="preserve"> </v>
      </c>
      <c r="D96" s="32" t="s">
        <v>214</v>
      </c>
      <c r="E96" s="34" t="s">
        <v>465</v>
      </c>
      <c r="F96" s="34">
        <v>6</v>
      </c>
      <c r="G96" s="34" t="s">
        <v>466</v>
      </c>
      <c r="H96" s="34">
        <v>24</v>
      </c>
      <c r="I96" s="34"/>
      <c r="J96" s="35">
        <v>1</v>
      </c>
      <c r="K96" s="34">
        <v>13.178883576221846</v>
      </c>
      <c r="L96" s="38">
        <f>+H96*J96*K96*F96</f>
        <v>1897.7592349759457</v>
      </c>
      <c r="M96" s="38">
        <f t="shared" ref="M96:Q97" si="41">$L96/5</f>
        <v>379.55184699518912</v>
      </c>
      <c r="N96" s="38">
        <f t="shared" si="41"/>
        <v>379.55184699518912</v>
      </c>
      <c r="O96" s="38">
        <f t="shared" si="41"/>
        <v>379.55184699518912</v>
      </c>
      <c r="P96" s="38">
        <f t="shared" si="41"/>
        <v>379.55184699518912</v>
      </c>
      <c r="Q96" s="38">
        <f t="shared" si="41"/>
        <v>379.55184699518912</v>
      </c>
      <c r="R96" s="38">
        <f>$L96/2</f>
        <v>948.87961748797284</v>
      </c>
      <c r="S96" s="38">
        <f>$L96/2</f>
        <v>948.87961748797284</v>
      </c>
    </row>
    <row r="97" spans="1:19" s="9" customFormat="1" ht="13.2">
      <c r="A97" s="31"/>
      <c r="B97" s="125"/>
      <c r="C97" s="125" t="str">
        <f>+IFERROR(VLOOKUP($B97, 'Services to Beneficiaries'!$B$7:$C$17, 2, 0), " ")</f>
        <v xml:space="preserve"> </v>
      </c>
      <c r="D97" s="32" t="s">
        <v>211</v>
      </c>
      <c r="E97" s="34" t="s">
        <v>467</v>
      </c>
      <c r="F97" s="34">
        <v>4</v>
      </c>
      <c r="G97" s="34" t="s">
        <v>466</v>
      </c>
      <c r="H97" s="34">
        <v>24</v>
      </c>
      <c r="I97" s="34"/>
      <c r="J97" s="35">
        <v>1</v>
      </c>
      <c r="K97" s="34">
        <v>52.715534304887385</v>
      </c>
      <c r="L97" s="38">
        <f>+H97*J97*K97*F97</f>
        <v>5060.6912932691885</v>
      </c>
      <c r="M97" s="38">
        <f t="shared" si="41"/>
        <v>1012.1382586538377</v>
      </c>
      <c r="N97" s="38">
        <f t="shared" si="41"/>
        <v>1012.1382586538377</v>
      </c>
      <c r="O97" s="38">
        <f t="shared" si="41"/>
        <v>1012.1382586538377</v>
      </c>
      <c r="P97" s="38">
        <f t="shared" si="41"/>
        <v>1012.1382586538377</v>
      </c>
      <c r="Q97" s="38">
        <f t="shared" si="41"/>
        <v>1012.1382586538377</v>
      </c>
      <c r="R97" s="38">
        <f>$L97/2</f>
        <v>2530.3456466345942</v>
      </c>
      <c r="S97" s="38">
        <f>$L97/2</f>
        <v>2530.3456466345942</v>
      </c>
    </row>
    <row r="98" spans="1:19" s="9" customFormat="1" ht="13.2">
      <c r="A98" s="31"/>
      <c r="B98" s="45"/>
      <c r="C98" s="45"/>
      <c r="D98" s="45" t="s">
        <v>212</v>
      </c>
      <c r="E98" s="46" t="s">
        <v>213</v>
      </c>
      <c r="F98" s="46"/>
      <c r="G98" s="46"/>
      <c r="H98" s="46"/>
      <c r="I98" s="46"/>
      <c r="J98" s="48"/>
      <c r="K98" s="46"/>
      <c r="L98" s="50">
        <f t="shared" ref="L98:S98" si="42">SUM(L99:L102)</f>
        <v>7748.0145737366138</v>
      </c>
      <c r="M98" s="50">
        <f t="shared" si="42"/>
        <v>1549.6029147473228</v>
      </c>
      <c r="N98" s="50">
        <f t="shared" si="42"/>
        <v>1549.6029147473228</v>
      </c>
      <c r="O98" s="50">
        <f t="shared" si="42"/>
        <v>1549.6029147473228</v>
      </c>
      <c r="P98" s="50">
        <f t="shared" si="42"/>
        <v>1549.6029147473228</v>
      </c>
      <c r="Q98" s="50">
        <f t="shared" si="42"/>
        <v>1549.6029147473228</v>
      </c>
      <c r="R98" s="50">
        <f t="shared" si="42"/>
        <v>3874.0072868683069</v>
      </c>
      <c r="S98" s="50">
        <f t="shared" si="42"/>
        <v>3874.0072868683069</v>
      </c>
    </row>
    <row r="99" spans="1:19" s="9" customFormat="1" ht="13.2">
      <c r="A99" s="31"/>
      <c r="B99" s="125"/>
      <c r="C99" s="125" t="str">
        <f>+IFERROR(VLOOKUP($B99, 'Services to Beneficiaries'!$B$7:$C$17, 2, 0), " ")</f>
        <v xml:space="preserve"> </v>
      </c>
      <c r="D99" s="32" t="s">
        <v>394</v>
      </c>
      <c r="E99" s="34" t="s">
        <v>468</v>
      </c>
      <c r="F99" s="34">
        <v>1</v>
      </c>
      <c r="G99" s="34" t="s">
        <v>469</v>
      </c>
      <c r="H99" s="34">
        <v>24</v>
      </c>
      <c r="I99" s="34"/>
      <c r="J99" s="35">
        <v>1.72E-2</v>
      </c>
      <c r="K99" s="34">
        <v>467.62369015836458</v>
      </c>
      <c r="L99" s="38">
        <f>+H99*J99*K99*F99</f>
        <v>193.0350592973729</v>
      </c>
      <c r="M99" s="38">
        <f t="shared" ref="M99:Q102" si="43">$L99/5</f>
        <v>38.607011859474582</v>
      </c>
      <c r="N99" s="38">
        <f t="shared" si="43"/>
        <v>38.607011859474582</v>
      </c>
      <c r="O99" s="38">
        <f t="shared" si="43"/>
        <v>38.607011859474582</v>
      </c>
      <c r="P99" s="38">
        <f t="shared" si="43"/>
        <v>38.607011859474582</v>
      </c>
      <c r="Q99" s="38">
        <f t="shared" si="43"/>
        <v>38.607011859474582</v>
      </c>
      <c r="R99" s="38">
        <f t="shared" ref="R99:S102" si="44">$L99/2</f>
        <v>96.517529648686448</v>
      </c>
      <c r="S99" s="38">
        <f t="shared" si="44"/>
        <v>96.517529648686448</v>
      </c>
    </row>
    <row r="100" spans="1:19" s="9" customFormat="1" ht="13.2">
      <c r="A100" s="31"/>
      <c r="B100" s="125"/>
      <c r="C100" s="125" t="str">
        <f>+IFERROR(VLOOKUP($B100, 'Services to Beneficiaries'!$B$7:$C$17, 2, 0), " ")</f>
        <v xml:space="preserve"> </v>
      </c>
      <c r="D100" s="32" t="s">
        <v>470</v>
      </c>
      <c r="E100" s="34" t="s">
        <v>471</v>
      </c>
      <c r="F100" s="34">
        <v>1</v>
      </c>
      <c r="G100" s="34" t="s">
        <v>472</v>
      </c>
      <c r="H100" s="34">
        <v>24</v>
      </c>
      <c r="I100" s="34"/>
      <c r="J100" s="35">
        <v>1.72E-2</v>
      </c>
      <c r="K100" s="34">
        <v>65.894417881109234</v>
      </c>
      <c r="L100" s="38">
        <f>+H100*J100*K100*F100</f>
        <v>27.201215701321892</v>
      </c>
      <c r="M100" s="38">
        <f t="shared" si="43"/>
        <v>5.4402431402643785</v>
      </c>
      <c r="N100" s="38">
        <f t="shared" si="43"/>
        <v>5.4402431402643785</v>
      </c>
      <c r="O100" s="38">
        <f t="shared" si="43"/>
        <v>5.4402431402643785</v>
      </c>
      <c r="P100" s="38">
        <f t="shared" si="43"/>
        <v>5.4402431402643785</v>
      </c>
      <c r="Q100" s="38">
        <f t="shared" si="43"/>
        <v>5.4402431402643785</v>
      </c>
      <c r="R100" s="38">
        <f t="shared" si="44"/>
        <v>13.600607850660946</v>
      </c>
      <c r="S100" s="38">
        <f t="shared" si="44"/>
        <v>13.600607850660946</v>
      </c>
    </row>
    <row r="101" spans="1:19" s="9" customFormat="1" ht="13.2">
      <c r="A101" s="31"/>
      <c r="B101" s="125"/>
      <c r="C101" s="125" t="str">
        <f>+IFERROR(VLOOKUP($B101, 'Services to Beneficiaries'!$B$7:$C$17, 2, 0), " ")</f>
        <v xml:space="preserve"> </v>
      </c>
      <c r="D101" s="32" t="s">
        <v>473</v>
      </c>
      <c r="E101" s="34" t="s">
        <v>474</v>
      </c>
      <c r="F101" s="34">
        <v>1</v>
      </c>
      <c r="G101" s="34" t="s">
        <v>475</v>
      </c>
      <c r="H101" s="34">
        <v>8</v>
      </c>
      <c r="I101" s="34"/>
      <c r="J101" s="35">
        <v>0.51</v>
      </c>
      <c r="K101" s="34">
        <v>461.26092516776464</v>
      </c>
      <c r="L101" s="38">
        <f>+H101*J101*K101*F101</f>
        <v>1881.9445746844797</v>
      </c>
      <c r="M101" s="38">
        <f t="shared" si="43"/>
        <v>376.38891493689596</v>
      </c>
      <c r="N101" s="38">
        <f t="shared" si="43"/>
        <v>376.38891493689596</v>
      </c>
      <c r="O101" s="38">
        <f t="shared" si="43"/>
        <v>376.38891493689596</v>
      </c>
      <c r="P101" s="38">
        <f t="shared" si="43"/>
        <v>376.38891493689596</v>
      </c>
      <c r="Q101" s="38">
        <f t="shared" si="43"/>
        <v>376.38891493689596</v>
      </c>
      <c r="R101" s="38">
        <f t="shared" si="44"/>
        <v>940.97228734223984</v>
      </c>
      <c r="S101" s="38">
        <f t="shared" si="44"/>
        <v>940.97228734223984</v>
      </c>
    </row>
    <row r="102" spans="1:19" s="9" customFormat="1" ht="13.2">
      <c r="A102" s="31"/>
      <c r="B102" s="125"/>
      <c r="C102" s="125" t="str">
        <f>+IFERROR(VLOOKUP($B102, 'Services to Beneficiaries'!$B$7:$C$17, 2, 0), " ")</f>
        <v xml:space="preserve"> </v>
      </c>
      <c r="D102" s="32" t="s">
        <v>476</v>
      </c>
      <c r="E102" s="34" t="s">
        <v>477</v>
      </c>
      <c r="F102" s="34">
        <v>1</v>
      </c>
      <c r="G102" s="34" t="s">
        <v>475</v>
      </c>
      <c r="H102" s="34">
        <v>8</v>
      </c>
      <c r="I102" s="34"/>
      <c r="J102" s="35">
        <v>0.51</v>
      </c>
      <c r="K102" s="34">
        <v>1383.7827755032938</v>
      </c>
      <c r="L102" s="38">
        <f>+H102*J102*K102*F102</f>
        <v>5645.8337240534393</v>
      </c>
      <c r="M102" s="38">
        <f t="shared" si="43"/>
        <v>1129.1667448106878</v>
      </c>
      <c r="N102" s="38">
        <f t="shared" si="43"/>
        <v>1129.1667448106878</v>
      </c>
      <c r="O102" s="38">
        <f t="shared" si="43"/>
        <v>1129.1667448106878</v>
      </c>
      <c r="P102" s="38">
        <f t="shared" si="43"/>
        <v>1129.1667448106878</v>
      </c>
      <c r="Q102" s="38">
        <f t="shared" si="43"/>
        <v>1129.1667448106878</v>
      </c>
      <c r="R102" s="38">
        <f t="shared" si="44"/>
        <v>2822.9168620267196</v>
      </c>
      <c r="S102" s="38">
        <f t="shared" si="44"/>
        <v>2822.9168620267196</v>
      </c>
    </row>
    <row r="103" spans="1:19" s="176" customFormat="1" ht="13.2">
      <c r="A103" s="9"/>
      <c r="B103" s="172"/>
      <c r="C103" s="172"/>
      <c r="D103" s="172" t="s">
        <v>222</v>
      </c>
      <c r="E103" s="173" t="s">
        <v>223</v>
      </c>
      <c r="F103" s="173"/>
      <c r="G103" s="173"/>
      <c r="H103" s="173"/>
      <c r="I103" s="173"/>
      <c r="J103" s="27"/>
      <c r="K103" s="174"/>
      <c r="L103" s="175">
        <f t="shared" ref="L103:S103" si="45">SUM(L104)</f>
        <v>3801.6010316024558</v>
      </c>
      <c r="M103" s="175">
        <f t="shared" si="45"/>
        <v>760.32020632049114</v>
      </c>
      <c r="N103" s="175">
        <f t="shared" si="45"/>
        <v>760.32020632049114</v>
      </c>
      <c r="O103" s="175">
        <f t="shared" si="45"/>
        <v>760.32020632049114</v>
      </c>
      <c r="P103" s="175">
        <f t="shared" si="45"/>
        <v>760.32020632049114</v>
      </c>
      <c r="Q103" s="175">
        <f t="shared" si="45"/>
        <v>760.32020632049114</v>
      </c>
      <c r="R103" s="175">
        <f t="shared" si="45"/>
        <v>1900.8005158012279</v>
      </c>
      <c r="S103" s="175">
        <f t="shared" si="45"/>
        <v>1900.8005158012279</v>
      </c>
    </row>
    <row r="104" spans="1:19" s="9" customFormat="1" ht="13.2">
      <c r="A104" s="31"/>
      <c r="B104" s="125"/>
      <c r="C104" s="125" t="str">
        <f>+IFERROR(VLOOKUP($B104, 'Services to Beneficiaries'!$B$7:$C$17, 2, 0), " ")</f>
        <v xml:space="preserve"> </v>
      </c>
      <c r="D104" s="32" t="s">
        <v>224</v>
      </c>
      <c r="E104" s="34" t="s">
        <v>478</v>
      </c>
      <c r="F104" s="34">
        <v>1</v>
      </c>
      <c r="G104" s="34" t="s">
        <v>479</v>
      </c>
      <c r="H104" s="34">
        <v>1</v>
      </c>
      <c r="I104" s="34"/>
      <c r="J104" s="35">
        <v>1</v>
      </c>
      <c r="K104" s="34">
        <v>3801.6010316024558</v>
      </c>
      <c r="L104" s="38">
        <f>+H104*J104*K104*F104</f>
        <v>3801.6010316024558</v>
      </c>
      <c r="M104" s="38">
        <f>$L104/5</f>
        <v>760.32020632049114</v>
      </c>
      <c r="N104" s="38">
        <f>$L104/5</f>
        <v>760.32020632049114</v>
      </c>
      <c r="O104" s="38">
        <f>$L104/5</f>
        <v>760.32020632049114</v>
      </c>
      <c r="P104" s="38">
        <f>$L104/5</f>
        <v>760.32020632049114</v>
      </c>
      <c r="Q104" s="38">
        <f>$L104/5</f>
        <v>760.32020632049114</v>
      </c>
      <c r="R104" s="38">
        <f>$L104/2</f>
        <v>1900.8005158012279</v>
      </c>
      <c r="S104" s="38">
        <f>$L104/2</f>
        <v>1900.8005158012279</v>
      </c>
    </row>
    <row r="105" spans="1:19" s="176" customFormat="1" ht="13.2">
      <c r="A105" s="9"/>
      <c r="B105" s="172"/>
      <c r="C105" s="172"/>
      <c r="D105" s="172" t="s">
        <v>231</v>
      </c>
      <c r="E105" s="173" t="s">
        <v>232</v>
      </c>
      <c r="F105" s="173"/>
      <c r="G105" s="173"/>
      <c r="H105" s="173"/>
      <c r="I105" s="173"/>
      <c r="J105" s="27"/>
      <c r="K105" s="174"/>
      <c r="L105" s="175">
        <f t="shared" ref="L105:S105" si="46">SUM(L116,L106)</f>
        <v>71261.102701162221</v>
      </c>
      <c r="M105" s="175">
        <f t="shared" si="46"/>
        <v>14252.220540232445</v>
      </c>
      <c r="N105" s="175">
        <f t="shared" si="46"/>
        <v>14252.220540232445</v>
      </c>
      <c r="O105" s="175">
        <f t="shared" si="46"/>
        <v>14252.220540232445</v>
      </c>
      <c r="P105" s="175">
        <f t="shared" si="46"/>
        <v>14252.220540232445</v>
      </c>
      <c r="Q105" s="175">
        <f t="shared" si="46"/>
        <v>14252.220540232445</v>
      </c>
      <c r="R105" s="175">
        <f t="shared" si="46"/>
        <v>35630.55135058111</v>
      </c>
      <c r="S105" s="175">
        <f t="shared" si="46"/>
        <v>35630.55135058111</v>
      </c>
    </row>
    <row r="106" spans="1:19" s="39" customFormat="1" ht="13.2">
      <c r="B106" s="40"/>
      <c r="C106" s="40"/>
      <c r="D106" s="40" t="s">
        <v>233</v>
      </c>
      <c r="E106" s="40" t="s">
        <v>234</v>
      </c>
      <c r="F106" s="40"/>
      <c r="G106" s="40"/>
      <c r="H106" s="40"/>
      <c r="I106" s="40"/>
      <c r="J106" s="42"/>
      <c r="K106" s="40"/>
      <c r="L106" s="44">
        <f>SUM(L107:L115)</f>
        <v>67210.426483878924</v>
      </c>
      <c r="M106" s="44">
        <f t="shared" ref="M106:S106" si="47">SUM(M107:M115)</f>
        <v>13442.085296775786</v>
      </c>
      <c r="N106" s="44">
        <f t="shared" si="47"/>
        <v>13442.085296775786</v>
      </c>
      <c r="O106" s="44">
        <f t="shared" si="47"/>
        <v>13442.085296775786</v>
      </c>
      <c r="P106" s="44">
        <f t="shared" si="47"/>
        <v>13442.085296775786</v>
      </c>
      <c r="Q106" s="44">
        <f t="shared" si="47"/>
        <v>13442.085296775786</v>
      </c>
      <c r="R106" s="44">
        <f t="shared" si="47"/>
        <v>33605.213241939462</v>
      </c>
      <c r="S106" s="44">
        <f t="shared" si="47"/>
        <v>33605.213241939462</v>
      </c>
    </row>
    <row r="107" spans="1:19" s="9" customFormat="1" ht="13.2">
      <c r="A107" s="31"/>
      <c r="B107" s="125"/>
      <c r="C107" s="125" t="str">
        <f>+IFERROR(VLOOKUP($B107, 'Services to Beneficiaries'!$B$7:$C$17, 2, 0), " ")</f>
        <v xml:space="preserve"> </v>
      </c>
      <c r="D107" s="32" t="s">
        <v>235</v>
      </c>
      <c r="E107" s="34" t="s">
        <v>480</v>
      </c>
      <c r="F107" s="34">
        <v>1</v>
      </c>
      <c r="G107" s="34" t="s">
        <v>418</v>
      </c>
      <c r="H107" s="34">
        <v>24</v>
      </c>
      <c r="I107" s="34"/>
      <c r="J107" s="35">
        <v>0.51</v>
      </c>
      <c r="K107" s="34">
        <v>790.73301457331081</v>
      </c>
      <c r="L107" s="38">
        <f t="shared" ref="L107:L115" si="48">+H107*J107*K107*F107</f>
        <v>9678.5720983773244</v>
      </c>
      <c r="M107" s="38">
        <f t="shared" ref="M107:Q115" si="49">$L107/5</f>
        <v>1935.7144196754648</v>
      </c>
      <c r="N107" s="38">
        <f t="shared" si="49"/>
        <v>1935.7144196754648</v>
      </c>
      <c r="O107" s="38">
        <f t="shared" si="49"/>
        <v>1935.7144196754648</v>
      </c>
      <c r="P107" s="38">
        <f t="shared" si="49"/>
        <v>1935.7144196754648</v>
      </c>
      <c r="Q107" s="38">
        <f t="shared" si="49"/>
        <v>1935.7144196754648</v>
      </c>
      <c r="R107" s="38">
        <f t="shared" ref="R107:S115" si="50">$L107/2</f>
        <v>4839.2860491886622</v>
      </c>
      <c r="S107" s="38">
        <f t="shared" si="50"/>
        <v>4839.2860491886622</v>
      </c>
    </row>
    <row r="108" spans="1:19" s="9" customFormat="1" ht="13.2">
      <c r="A108" s="31"/>
      <c r="B108" s="125"/>
      <c r="C108" s="125" t="str">
        <f>+IFERROR(VLOOKUP($B108, 'Services to Beneficiaries'!$B$7:$C$17, 2, 0), " ")</f>
        <v xml:space="preserve"> </v>
      </c>
      <c r="D108" s="32" t="s">
        <v>481</v>
      </c>
      <c r="E108" s="34" t="s">
        <v>482</v>
      </c>
      <c r="F108" s="34">
        <v>1</v>
      </c>
      <c r="G108" s="34" t="s">
        <v>418</v>
      </c>
      <c r="H108" s="34">
        <v>24</v>
      </c>
      <c r="I108" s="34"/>
      <c r="J108" s="35">
        <v>0.51</v>
      </c>
      <c r="K108" s="34">
        <v>263.57767152443694</v>
      </c>
      <c r="L108" s="38">
        <f t="shared" si="48"/>
        <v>3226.1906994591081</v>
      </c>
      <c r="M108" s="38">
        <f t="shared" si="49"/>
        <v>645.23813989182167</v>
      </c>
      <c r="N108" s="38">
        <f t="shared" si="49"/>
        <v>645.23813989182167</v>
      </c>
      <c r="O108" s="38">
        <f t="shared" si="49"/>
        <v>645.23813989182167</v>
      </c>
      <c r="P108" s="38">
        <f t="shared" si="49"/>
        <v>645.23813989182167</v>
      </c>
      <c r="Q108" s="38">
        <f t="shared" si="49"/>
        <v>645.23813989182167</v>
      </c>
      <c r="R108" s="38">
        <f t="shared" si="50"/>
        <v>1613.0953497295541</v>
      </c>
      <c r="S108" s="38">
        <f t="shared" si="50"/>
        <v>1613.0953497295541</v>
      </c>
    </row>
    <row r="109" spans="1:19" s="9" customFormat="1" ht="13.2">
      <c r="A109" s="31"/>
      <c r="B109" s="125"/>
      <c r="C109" s="125" t="str">
        <f>+IFERROR(VLOOKUP($B109, 'Services to Beneficiaries'!$B$7:$C$17, 2, 0), " ")</f>
        <v xml:space="preserve"> </v>
      </c>
      <c r="D109" s="32" t="s">
        <v>483</v>
      </c>
      <c r="E109" s="34" t="s">
        <v>484</v>
      </c>
      <c r="F109" s="34">
        <v>1</v>
      </c>
      <c r="G109" s="34" t="s">
        <v>418</v>
      </c>
      <c r="H109" s="34">
        <v>24</v>
      </c>
      <c r="I109" s="34"/>
      <c r="J109" s="35">
        <v>0.51</v>
      </c>
      <c r="K109" s="34">
        <v>342.65097298176801</v>
      </c>
      <c r="L109" s="38">
        <f t="shared" si="48"/>
        <v>4194.0479092968408</v>
      </c>
      <c r="M109" s="38">
        <f t="shared" si="49"/>
        <v>838.80958185936811</v>
      </c>
      <c r="N109" s="38">
        <f t="shared" si="49"/>
        <v>838.80958185936811</v>
      </c>
      <c r="O109" s="38">
        <f t="shared" si="49"/>
        <v>838.80958185936811</v>
      </c>
      <c r="P109" s="38">
        <f t="shared" si="49"/>
        <v>838.80958185936811</v>
      </c>
      <c r="Q109" s="38">
        <f t="shared" si="49"/>
        <v>838.80958185936811</v>
      </c>
      <c r="R109" s="38">
        <f t="shared" si="50"/>
        <v>2097.0239546484204</v>
      </c>
      <c r="S109" s="38">
        <f t="shared" si="50"/>
        <v>2097.0239546484204</v>
      </c>
    </row>
    <row r="110" spans="1:19" s="9" customFormat="1" ht="13.2">
      <c r="A110" s="31"/>
      <c r="B110" s="125"/>
      <c r="C110" s="125" t="str">
        <f>+IFERROR(VLOOKUP($B110, 'Services to Beneficiaries'!$B$7:$C$17, 2, 0), " ")</f>
        <v xml:space="preserve"> </v>
      </c>
      <c r="D110" s="32" t="s">
        <v>485</v>
      </c>
      <c r="E110" s="34" t="s">
        <v>486</v>
      </c>
      <c r="F110" s="34">
        <v>1</v>
      </c>
      <c r="G110" s="34" t="s">
        <v>418</v>
      </c>
      <c r="H110" s="34">
        <v>24</v>
      </c>
      <c r="I110" s="34"/>
      <c r="J110" s="35">
        <v>0.51</v>
      </c>
      <c r="K110" s="34">
        <v>743.28903369891214</v>
      </c>
      <c r="L110" s="38">
        <f t="shared" si="48"/>
        <v>9097.8577724746847</v>
      </c>
      <c r="M110" s="38">
        <f t="shared" si="49"/>
        <v>1819.5715544949369</v>
      </c>
      <c r="N110" s="38">
        <f t="shared" si="49"/>
        <v>1819.5715544949369</v>
      </c>
      <c r="O110" s="38">
        <f t="shared" si="49"/>
        <v>1819.5715544949369</v>
      </c>
      <c r="P110" s="38">
        <f t="shared" si="49"/>
        <v>1819.5715544949369</v>
      </c>
      <c r="Q110" s="38">
        <f t="shared" si="49"/>
        <v>1819.5715544949369</v>
      </c>
      <c r="R110" s="38">
        <f t="shared" si="50"/>
        <v>4548.9288862373423</v>
      </c>
      <c r="S110" s="38">
        <f t="shared" si="50"/>
        <v>4548.9288862373423</v>
      </c>
    </row>
    <row r="111" spans="1:19" s="9" customFormat="1" ht="13.2">
      <c r="A111" s="31"/>
      <c r="B111" s="125"/>
      <c r="C111" s="125" t="str">
        <f>+IFERROR(VLOOKUP($B111, 'Services to Beneficiaries'!$B$7:$C$17, 2, 0), " ")</f>
        <v xml:space="preserve"> </v>
      </c>
      <c r="D111" s="32" t="s">
        <v>487</v>
      </c>
      <c r="E111" s="34" t="s">
        <v>488</v>
      </c>
      <c r="F111" s="34">
        <v>1</v>
      </c>
      <c r="G111" s="34" t="s">
        <v>418</v>
      </c>
      <c r="H111" s="34">
        <v>24</v>
      </c>
      <c r="I111" s="34"/>
      <c r="J111" s="35">
        <v>0.51</v>
      </c>
      <c r="K111" s="34">
        <v>2055.9058378906079</v>
      </c>
      <c r="L111" s="38">
        <f t="shared" si="48"/>
        <v>25164.287455781043</v>
      </c>
      <c r="M111" s="38">
        <f t="shared" si="49"/>
        <v>5032.8574911562082</v>
      </c>
      <c r="N111" s="38">
        <f t="shared" si="49"/>
        <v>5032.8574911562082</v>
      </c>
      <c r="O111" s="38">
        <f t="shared" si="49"/>
        <v>5032.8574911562082</v>
      </c>
      <c r="P111" s="38">
        <f t="shared" si="49"/>
        <v>5032.8574911562082</v>
      </c>
      <c r="Q111" s="38">
        <f t="shared" si="49"/>
        <v>5032.8574911562082</v>
      </c>
      <c r="R111" s="38">
        <f t="shared" si="50"/>
        <v>12582.143727890521</v>
      </c>
      <c r="S111" s="38">
        <f t="shared" si="50"/>
        <v>12582.143727890521</v>
      </c>
    </row>
    <row r="112" spans="1:19" s="9" customFormat="1" ht="13.2">
      <c r="A112" s="31"/>
      <c r="B112" s="125"/>
      <c r="C112" s="125" t="str">
        <f>+IFERROR(VLOOKUP($B112, 'Services to Beneficiaries'!$B$7:$C$17, 2, 0), " ")</f>
        <v xml:space="preserve"> </v>
      </c>
      <c r="D112" s="32" t="s">
        <v>489</v>
      </c>
      <c r="E112" s="34" t="s">
        <v>490</v>
      </c>
      <c r="F112" s="34">
        <v>1</v>
      </c>
      <c r="G112" s="34" t="s">
        <v>166</v>
      </c>
      <c r="H112" s="34">
        <v>2</v>
      </c>
      <c r="I112" s="34"/>
      <c r="J112" s="35">
        <v>0.51</v>
      </c>
      <c r="K112" s="34">
        <v>150.23927276892906</v>
      </c>
      <c r="L112" s="38">
        <f t="shared" si="48"/>
        <v>153.24405822430765</v>
      </c>
      <c r="M112" s="38">
        <f t="shared" si="49"/>
        <v>30.648811644861532</v>
      </c>
      <c r="N112" s="38">
        <f t="shared" si="49"/>
        <v>30.648811644861532</v>
      </c>
      <c r="O112" s="38">
        <f t="shared" si="49"/>
        <v>30.648811644861532</v>
      </c>
      <c r="P112" s="38">
        <f t="shared" si="49"/>
        <v>30.648811644861532</v>
      </c>
      <c r="Q112" s="38">
        <f t="shared" si="49"/>
        <v>30.648811644861532</v>
      </c>
      <c r="R112" s="38">
        <f t="shared" si="50"/>
        <v>76.622029112153825</v>
      </c>
      <c r="S112" s="38">
        <f t="shared" si="50"/>
        <v>76.622029112153825</v>
      </c>
    </row>
    <row r="113" spans="1:19" s="9" customFormat="1" ht="13.2">
      <c r="A113" s="31"/>
      <c r="B113" s="125"/>
      <c r="C113" s="125" t="str">
        <f>+IFERROR(VLOOKUP($B113, 'Services to Beneficiaries'!$B$7:$C$17, 2, 0), " ")</f>
        <v xml:space="preserve"> </v>
      </c>
      <c r="D113" s="32" t="s">
        <v>491</v>
      </c>
      <c r="E113" s="34" t="s">
        <v>492</v>
      </c>
      <c r="F113" s="34">
        <v>1</v>
      </c>
      <c r="G113" s="34" t="s">
        <v>418</v>
      </c>
      <c r="H113" s="34">
        <v>24</v>
      </c>
      <c r="I113" s="34"/>
      <c r="J113" s="35">
        <v>0.05</v>
      </c>
      <c r="K113" s="34">
        <v>7182.4915490409066</v>
      </c>
      <c r="L113" s="38">
        <f t="shared" si="48"/>
        <v>8618.9898588490887</v>
      </c>
      <c r="M113" s="38">
        <f t="shared" si="49"/>
        <v>1723.7979717698177</v>
      </c>
      <c r="N113" s="38">
        <f t="shared" si="49"/>
        <v>1723.7979717698177</v>
      </c>
      <c r="O113" s="38">
        <f t="shared" si="49"/>
        <v>1723.7979717698177</v>
      </c>
      <c r="P113" s="38">
        <f t="shared" si="49"/>
        <v>1723.7979717698177</v>
      </c>
      <c r="Q113" s="38">
        <f t="shared" si="49"/>
        <v>1723.7979717698177</v>
      </c>
      <c r="R113" s="38">
        <f t="shared" si="50"/>
        <v>4309.4949294245444</v>
      </c>
      <c r="S113" s="38">
        <f t="shared" si="50"/>
        <v>4309.4949294245444</v>
      </c>
    </row>
    <row r="114" spans="1:19" s="9" customFormat="1" ht="13.2">
      <c r="A114" s="31"/>
      <c r="B114" s="125"/>
      <c r="C114" s="125" t="str">
        <f>+IFERROR(VLOOKUP($B114, 'Services to Beneficiaries'!$B$7:$C$17, 2, 0), " ")</f>
        <v xml:space="preserve"> </v>
      </c>
      <c r="D114" s="32" t="s">
        <v>493</v>
      </c>
      <c r="E114" s="34" t="s">
        <v>494</v>
      </c>
      <c r="F114" s="34">
        <v>1</v>
      </c>
      <c r="G114" s="34" t="s">
        <v>418</v>
      </c>
      <c r="H114" s="34">
        <v>24</v>
      </c>
      <c r="I114" s="34"/>
      <c r="J114" s="78">
        <v>0.51</v>
      </c>
      <c r="K114" s="34">
        <v>367.00554983062597</v>
      </c>
      <c r="L114" s="38">
        <f t="shared" si="48"/>
        <v>4492.1479299268622</v>
      </c>
      <c r="M114" s="38">
        <f t="shared" si="49"/>
        <v>898.42958598537246</v>
      </c>
      <c r="N114" s="38">
        <f t="shared" si="49"/>
        <v>898.42958598537246</v>
      </c>
      <c r="O114" s="38">
        <f t="shared" si="49"/>
        <v>898.42958598537246</v>
      </c>
      <c r="P114" s="38">
        <f t="shared" si="49"/>
        <v>898.42958598537246</v>
      </c>
      <c r="Q114" s="38">
        <f t="shared" si="49"/>
        <v>898.42958598537246</v>
      </c>
      <c r="R114" s="38">
        <f t="shared" si="50"/>
        <v>2246.0739649634311</v>
      </c>
      <c r="S114" s="38">
        <f t="shared" si="50"/>
        <v>2246.0739649634311</v>
      </c>
    </row>
    <row r="115" spans="1:19" s="9" customFormat="1" ht="13.2">
      <c r="A115" s="31"/>
      <c r="B115" s="125"/>
      <c r="C115" s="125" t="str">
        <f>+IFERROR(VLOOKUP($B115, 'Services to Beneficiaries'!$B$7:$C$17, 2, 0), " ")</f>
        <v xml:space="preserve"> </v>
      </c>
      <c r="D115" s="32" t="s">
        <v>495</v>
      </c>
      <c r="E115" s="34" t="s">
        <v>496</v>
      </c>
      <c r="F115" s="34">
        <v>1</v>
      </c>
      <c r="G115" s="34" t="s">
        <v>497</v>
      </c>
      <c r="H115" s="34">
        <v>1</v>
      </c>
      <c r="I115" s="34"/>
      <c r="J115" s="35">
        <v>0.51</v>
      </c>
      <c r="K115" s="34">
        <v>5068.8013754699414</v>
      </c>
      <c r="L115" s="38">
        <f t="shared" si="48"/>
        <v>2585.0887014896703</v>
      </c>
      <c r="M115" s="38">
        <f t="shared" si="49"/>
        <v>517.0177402979341</v>
      </c>
      <c r="N115" s="38">
        <f t="shared" si="49"/>
        <v>517.0177402979341</v>
      </c>
      <c r="O115" s="38">
        <f t="shared" si="49"/>
        <v>517.0177402979341</v>
      </c>
      <c r="P115" s="38">
        <f t="shared" si="49"/>
        <v>517.0177402979341</v>
      </c>
      <c r="Q115" s="38">
        <f t="shared" si="49"/>
        <v>517.0177402979341</v>
      </c>
      <c r="R115" s="38">
        <f t="shared" si="50"/>
        <v>1292.5443507448351</v>
      </c>
      <c r="S115" s="38">
        <f t="shared" si="50"/>
        <v>1292.5443507448351</v>
      </c>
    </row>
    <row r="116" spans="1:19" s="39" customFormat="1" ht="13.2">
      <c r="B116" s="40"/>
      <c r="C116" s="40"/>
      <c r="D116" s="40" t="s">
        <v>236</v>
      </c>
      <c r="E116" s="40" t="s">
        <v>237</v>
      </c>
      <c r="F116" s="40"/>
      <c r="G116" s="40"/>
      <c r="H116" s="40"/>
      <c r="I116" s="40"/>
      <c r="J116" s="42"/>
      <c r="K116" s="40"/>
      <c r="L116" s="44">
        <f>SUM(L117:L118)</f>
        <v>4050.676217283295</v>
      </c>
      <c r="M116" s="44">
        <f>SUM(M117:M118)</f>
        <v>810.13524345665894</v>
      </c>
      <c r="N116" s="44">
        <f t="shared" ref="N116:Q116" si="51">SUM(N117:N118)</f>
        <v>810.13524345665894</v>
      </c>
      <c r="O116" s="44">
        <f t="shared" si="51"/>
        <v>810.13524345665894</v>
      </c>
      <c r="P116" s="44">
        <f t="shared" si="51"/>
        <v>810.13524345665894</v>
      </c>
      <c r="Q116" s="44">
        <f t="shared" si="51"/>
        <v>810.13524345665894</v>
      </c>
      <c r="R116" s="44">
        <f>SUM(R117:R118)</f>
        <v>2025.3381086416475</v>
      </c>
      <c r="S116" s="44">
        <f>SUM(S117:S118)</f>
        <v>2025.3381086416475</v>
      </c>
    </row>
    <row r="117" spans="1:19" s="9" customFormat="1" ht="13.2">
      <c r="A117" s="31"/>
      <c r="B117" s="125"/>
      <c r="C117" s="125" t="str">
        <f>+IFERROR(VLOOKUP($B117, 'Services to Beneficiaries'!$B$7:$C$17, 2, 0), " ")</f>
        <v xml:space="preserve"> </v>
      </c>
      <c r="D117" s="32" t="s">
        <v>238</v>
      </c>
      <c r="E117" s="34" t="s">
        <v>480</v>
      </c>
      <c r="F117" s="34">
        <v>1</v>
      </c>
      <c r="G117" s="34" t="s">
        <v>418</v>
      </c>
      <c r="H117" s="34">
        <v>24</v>
      </c>
      <c r="I117" s="34"/>
      <c r="J117" s="35">
        <v>1.72E-2</v>
      </c>
      <c r="K117" s="34">
        <v>9153.7404560806099</v>
      </c>
      <c r="L117" s="38">
        <f>+H117*J117*K117*F117</f>
        <v>3778.6640602700759</v>
      </c>
      <c r="M117" s="38">
        <f t="shared" ref="M117:Q118" si="52">$L117/5</f>
        <v>755.7328120540152</v>
      </c>
      <c r="N117" s="38">
        <f t="shared" si="52"/>
        <v>755.7328120540152</v>
      </c>
      <c r="O117" s="38">
        <f t="shared" si="52"/>
        <v>755.7328120540152</v>
      </c>
      <c r="P117" s="38">
        <f t="shared" si="52"/>
        <v>755.7328120540152</v>
      </c>
      <c r="Q117" s="38">
        <f t="shared" si="52"/>
        <v>755.7328120540152</v>
      </c>
      <c r="R117" s="38">
        <f>$L117/2</f>
        <v>1889.3320301350379</v>
      </c>
      <c r="S117" s="38">
        <f>$L117/2</f>
        <v>1889.3320301350379</v>
      </c>
    </row>
    <row r="118" spans="1:19" s="9" customFormat="1" ht="13.2">
      <c r="A118" s="31"/>
      <c r="B118" s="125"/>
      <c r="C118" s="125" t="str">
        <f>+IFERROR(VLOOKUP($B118, 'Services to Beneficiaries'!$B$7:$C$17, 2, 0), " ")</f>
        <v xml:space="preserve"> </v>
      </c>
      <c r="D118" s="32" t="s">
        <v>240</v>
      </c>
      <c r="E118" s="34" t="s">
        <v>482</v>
      </c>
      <c r="F118" s="34">
        <v>1</v>
      </c>
      <c r="G118" s="34" t="s">
        <v>418</v>
      </c>
      <c r="H118" s="34">
        <v>24</v>
      </c>
      <c r="I118" s="34"/>
      <c r="J118" s="35">
        <v>1.72E-2</v>
      </c>
      <c r="K118" s="34">
        <v>658.94417881109234</v>
      </c>
      <c r="L118" s="38">
        <f>+H118*J118*K118*F118</f>
        <v>272.01215701321894</v>
      </c>
      <c r="M118" s="38">
        <f t="shared" si="52"/>
        <v>54.402431402643785</v>
      </c>
      <c r="N118" s="38">
        <f t="shared" si="52"/>
        <v>54.402431402643785</v>
      </c>
      <c r="O118" s="38">
        <f t="shared" si="52"/>
        <v>54.402431402643785</v>
      </c>
      <c r="P118" s="38">
        <f t="shared" si="52"/>
        <v>54.402431402643785</v>
      </c>
      <c r="Q118" s="38">
        <f t="shared" si="52"/>
        <v>54.402431402643785</v>
      </c>
      <c r="R118" s="38">
        <f>$L118/2</f>
        <v>136.00607850660947</v>
      </c>
      <c r="S118" s="38">
        <f>$L118/2</f>
        <v>136.00607850660947</v>
      </c>
    </row>
    <row r="119" spans="1:19" s="176" customFormat="1" ht="13.2">
      <c r="A119" s="9"/>
      <c r="B119" s="172"/>
      <c r="C119" s="172"/>
      <c r="D119" s="172" t="s">
        <v>250</v>
      </c>
      <c r="E119" s="173" t="s">
        <v>251</v>
      </c>
      <c r="F119" s="173"/>
      <c r="G119" s="173"/>
      <c r="H119" s="173"/>
      <c r="I119" s="173"/>
      <c r="J119" s="27"/>
      <c r="K119" s="174"/>
      <c r="L119" s="175">
        <f t="shared" ref="L119:S119" si="53">SUM(L120:L133)</f>
        <v>17996.326612296001</v>
      </c>
      <c r="M119" s="175">
        <f t="shared" si="53"/>
        <v>3599.2653224591995</v>
      </c>
      <c r="N119" s="175">
        <f t="shared" si="53"/>
        <v>3599.2653224591995</v>
      </c>
      <c r="O119" s="175">
        <f t="shared" si="53"/>
        <v>3599.2653224591995</v>
      </c>
      <c r="P119" s="175">
        <f t="shared" si="53"/>
        <v>3599.2653224591995</v>
      </c>
      <c r="Q119" s="175">
        <f t="shared" si="53"/>
        <v>3599.2653224591995</v>
      </c>
      <c r="R119" s="175">
        <f t="shared" si="53"/>
        <v>8998.1633061480006</v>
      </c>
      <c r="S119" s="175">
        <f t="shared" si="53"/>
        <v>8998.1633061480006</v>
      </c>
    </row>
    <row r="120" spans="1:19" s="9" customFormat="1" ht="13.2">
      <c r="A120" s="31"/>
      <c r="B120" s="125"/>
      <c r="C120" s="125" t="str">
        <f>+IFERROR(VLOOKUP($B120, 'Services to Beneficiaries'!$B$7:$C$17, 2, 0), " ")</f>
        <v xml:space="preserve"> </v>
      </c>
      <c r="D120" s="32" t="s">
        <v>252</v>
      </c>
      <c r="E120" s="34" t="s">
        <v>498</v>
      </c>
      <c r="F120" s="34">
        <v>1</v>
      </c>
      <c r="G120" s="34" t="s">
        <v>475</v>
      </c>
      <c r="H120" s="34">
        <v>8</v>
      </c>
      <c r="I120" s="34"/>
      <c r="J120" s="35">
        <v>0.51</v>
      </c>
      <c r="K120" s="34">
        <v>658.94417881109234</v>
      </c>
      <c r="L120" s="38">
        <f t="shared" ref="L120:L133" si="54">+H120*J120*K120*F120</f>
        <v>2688.4922495492569</v>
      </c>
      <c r="M120" s="38">
        <f t="shared" ref="M120:Q133" si="55">$L120/5</f>
        <v>537.69844990985143</v>
      </c>
      <c r="N120" s="38">
        <f t="shared" si="55"/>
        <v>537.69844990985143</v>
      </c>
      <c r="O120" s="38">
        <f t="shared" si="55"/>
        <v>537.69844990985143</v>
      </c>
      <c r="P120" s="38">
        <f t="shared" si="55"/>
        <v>537.69844990985143</v>
      </c>
      <c r="Q120" s="38">
        <f t="shared" si="55"/>
        <v>537.69844990985143</v>
      </c>
      <c r="R120" s="38">
        <f t="shared" ref="R120:S133" si="56">$L120/2</f>
        <v>1344.2461247746285</v>
      </c>
      <c r="S120" s="38">
        <f t="shared" si="56"/>
        <v>1344.2461247746285</v>
      </c>
    </row>
    <row r="121" spans="1:19" s="9" customFormat="1" ht="13.2">
      <c r="A121" s="31"/>
      <c r="B121" s="125"/>
      <c r="C121" s="125" t="str">
        <f>+IFERROR(VLOOKUP($B121, 'Services to Beneficiaries'!$B$7:$C$17, 2, 0), " ")</f>
        <v xml:space="preserve"> </v>
      </c>
      <c r="D121" s="32" t="s">
        <v>400</v>
      </c>
      <c r="E121" s="34" t="s">
        <v>499</v>
      </c>
      <c r="F121" s="34">
        <v>1</v>
      </c>
      <c r="G121" s="34" t="s">
        <v>418</v>
      </c>
      <c r="H121" s="34">
        <v>24</v>
      </c>
      <c r="I121" s="34"/>
      <c r="J121" s="35">
        <v>0.51</v>
      </c>
      <c r="K121" s="34">
        <v>168.68970977563964</v>
      </c>
      <c r="L121" s="38">
        <f t="shared" si="54"/>
        <v>2064.7620476538291</v>
      </c>
      <c r="M121" s="38">
        <f t="shared" si="55"/>
        <v>412.95240953076581</v>
      </c>
      <c r="N121" s="38">
        <f t="shared" si="55"/>
        <v>412.95240953076581</v>
      </c>
      <c r="O121" s="38">
        <f t="shared" si="55"/>
        <v>412.95240953076581</v>
      </c>
      <c r="P121" s="38">
        <f t="shared" si="55"/>
        <v>412.95240953076581</v>
      </c>
      <c r="Q121" s="38">
        <f t="shared" si="55"/>
        <v>412.95240953076581</v>
      </c>
      <c r="R121" s="38">
        <f t="shared" si="56"/>
        <v>1032.3810238269145</v>
      </c>
      <c r="S121" s="38">
        <f t="shared" si="56"/>
        <v>1032.3810238269145</v>
      </c>
    </row>
    <row r="122" spans="1:19" s="9" customFormat="1" ht="13.2">
      <c r="A122" s="31"/>
      <c r="B122" s="125"/>
      <c r="C122" s="125" t="str">
        <f>+IFERROR(VLOOKUP($B122, 'Services to Beneficiaries'!$B$7:$C$17, 2, 0), " ")</f>
        <v xml:space="preserve"> </v>
      </c>
      <c r="D122" s="32" t="s">
        <v>500</v>
      </c>
      <c r="E122" s="34" t="s">
        <v>486</v>
      </c>
      <c r="F122" s="34">
        <v>1</v>
      </c>
      <c r="G122" s="34" t="s">
        <v>418</v>
      </c>
      <c r="H122" s="34">
        <v>24</v>
      </c>
      <c r="I122" s="34"/>
      <c r="J122" s="35">
        <v>1.72E-2</v>
      </c>
      <c r="K122" s="34">
        <v>922.52185033552928</v>
      </c>
      <c r="L122" s="38">
        <f t="shared" si="54"/>
        <v>380.81701981850648</v>
      </c>
      <c r="M122" s="38">
        <f t="shared" si="55"/>
        <v>76.163403963701299</v>
      </c>
      <c r="N122" s="38">
        <f t="shared" si="55"/>
        <v>76.163403963701299</v>
      </c>
      <c r="O122" s="38">
        <f t="shared" si="55"/>
        <v>76.163403963701299</v>
      </c>
      <c r="P122" s="38">
        <f t="shared" si="55"/>
        <v>76.163403963701299</v>
      </c>
      <c r="Q122" s="38">
        <f t="shared" si="55"/>
        <v>76.163403963701299</v>
      </c>
      <c r="R122" s="38">
        <f t="shared" si="56"/>
        <v>190.40850990925324</v>
      </c>
      <c r="S122" s="38">
        <f t="shared" si="56"/>
        <v>190.40850990925324</v>
      </c>
    </row>
    <row r="123" spans="1:19" s="9" customFormat="1" ht="13.2">
      <c r="A123" s="31"/>
      <c r="B123" s="125"/>
      <c r="C123" s="125" t="str">
        <f>+IFERROR(VLOOKUP($B123, 'Services to Beneficiaries'!$B$7:$C$17, 2, 0), " ")</f>
        <v xml:space="preserve"> </v>
      </c>
      <c r="D123" s="32" t="s">
        <v>501</v>
      </c>
      <c r="E123" s="34" t="s">
        <v>494</v>
      </c>
      <c r="F123" s="34">
        <v>1</v>
      </c>
      <c r="G123" s="34" t="s">
        <v>418</v>
      </c>
      <c r="H123" s="34">
        <v>24</v>
      </c>
      <c r="I123" s="34"/>
      <c r="J123" s="35">
        <v>1.72E-2</v>
      </c>
      <c r="K123" s="34">
        <v>477.10721477981377</v>
      </c>
      <c r="L123" s="38">
        <f t="shared" si="54"/>
        <v>196.94985826110712</v>
      </c>
      <c r="M123" s="38">
        <f t="shared" si="55"/>
        <v>39.389971652221426</v>
      </c>
      <c r="N123" s="38">
        <f t="shared" si="55"/>
        <v>39.389971652221426</v>
      </c>
      <c r="O123" s="38">
        <f t="shared" si="55"/>
        <v>39.389971652221426</v>
      </c>
      <c r="P123" s="38">
        <f t="shared" si="55"/>
        <v>39.389971652221426</v>
      </c>
      <c r="Q123" s="38">
        <f t="shared" si="55"/>
        <v>39.389971652221426</v>
      </c>
      <c r="R123" s="38">
        <f t="shared" si="56"/>
        <v>98.474929130553562</v>
      </c>
      <c r="S123" s="38">
        <f t="shared" si="56"/>
        <v>98.474929130553562</v>
      </c>
    </row>
    <row r="124" spans="1:19" s="9" customFormat="1" ht="13.2">
      <c r="A124" s="31"/>
      <c r="B124" s="125"/>
      <c r="C124" s="125" t="str">
        <f>+IFERROR(VLOOKUP($B124, 'Services to Beneficiaries'!$B$7:$C$17, 2, 0), " ")</f>
        <v xml:space="preserve"> </v>
      </c>
      <c r="D124" s="32" t="s">
        <v>502</v>
      </c>
      <c r="E124" s="34" t="s">
        <v>484</v>
      </c>
      <c r="F124" s="34">
        <v>1</v>
      </c>
      <c r="G124" s="34" t="s">
        <v>418</v>
      </c>
      <c r="H124" s="34">
        <v>24</v>
      </c>
      <c r="I124" s="34"/>
      <c r="J124" s="35">
        <v>1.72E-2</v>
      </c>
      <c r="K124" s="34">
        <v>3100.0160681003599</v>
      </c>
      <c r="L124" s="38">
        <f t="shared" si="54"/>
        <v>1279.6866329118286</v>
      </c>
      <c r="M124" s="38">
        <f t="shared" si="55"/>
        <v>255.93732658236573</v>
      </c>
      <c r="N124" s="38">
        <f t="shared" si="55"/>
        <v>255.93732658236573</v>
      </c>
      <c r="O124" s="38">
        <f t="shared" si="55"/>
        <v>255.93732658236573</v>
      </c>
      <c r="P124" s="38">
        <f t="shared" si="55"/>
        <v>255.93732658236573</v>
      </c>
      <c r="Q124" s="38">
        <f t="shared" si="55"/>
        <v>255.93732658236573</v>
      </c>
      <c r="R124" s="38">
        <f t="shared" si="56"/>
        <v>639.84331645591431</v>
      </c>
      <c r="S124" s="38">
        <f t="shared" si="56"/>
        <v>639.84331645591431</v>
      </c>
    </row>
    <row r="125" spans="1:19" s="9" customFormat="1" ht="13.2">
      <c r="A125" s="31"/>
      <c r="B125" s="125"/>
      <c r="C125" s="125" t="str">
        <f>+IFERROR(VLOOKUP($B125, 'Services to Beneficiaries'!$B$7:$C$17, 2, 0), " ")</f>
        <v xml:space="preserve"> </v>
      </c>
      <c r="D125" s="32" t="s">
        <v>503</v>
      </c>
      <c r="E125" s="34" t="s">
        <v>504</v>
      </c>
      <c r="F125" s="34">
        <v>1</v>
      </c>
      <c r="G125" s="34" t="s">
        <v>418</v>
      </c>
      <c r="H125" s="34">
        <v>24</v>
      </c>
      <c r="I125" s="34"/>
      <c r="J125" s="35">
        <v>1.72E-2</v>
      </c>
      <c r="K125" s="34">
        <v>11274.095603338585</v>
      </c>
      <c r="L125" s="38">
        <f t="shared" si="54"/>
        <v>4653.946665058168</v>
      </c>
      <c r="M125" s="38">
        <f t="shared" si="55"/>
        <v>930.78933301163363</v>
      </c>
      <c r="N125" s="38">
        <f t="shared" si="55"/>
        <v>930.78933301163363</v>
      </c>
      <c r="O125" s="38">
        <f t="shared" si="55"/>
        <v>930.78933301163363</v>
      </c>
      <c r="P125" s="38">
        <f t="shared" si="55"/>
        <v>930.78933301163363</v>
      </c>
      <c r="Q125" s="38">
        <f t="shared" si="55"/>
        <v>930.78933301163363</v>
      </c>
      <c r="R125" s="38">
        <f t="shared" si="56"/>
        <v>2326.973332529084</v>
      </c>
      <c r="S125" s="38">
        <f t="shared" si="56"/>
        <v>2326.973332529084</v>
      </c>
    </row>
    <row r="126" spans="1:19" s="9" customFormat="1" ht="13.2">
      <c r="A126" s="31"/>
      <c r="B126" s="125"/>
      <c r="C126" s="125" t="str">
        <f>+IFERROR(VLOOKUP($B126, 'Services to Beneficiaries'!$B$7:$C$17, 2, 0), " ")</f>
        <v xml:space="preserve"> </v>
      </c>
      <c r="D126" s="32" t="s">
        <v>505</v>
      </c>
      <c r="E126" s="34" t="s">
        <v>498</v>
      </c>
      <c r="F126" s="34">
        <v>1</v>
      </c>
      <c r="G126" s="34" t="s">
        <v>418</v>
      </c>
      <c r="H126" s="34">
        <v>24</v>
      </c>
      <c r="I126" s="34"/>
      <c r="J126" s="35">
        <v>1.72E-2</v>
      </c>
      <c r="K126" s="34">
        <v>738.01748026842347</v>
      </c>
      <c r="L126" s="38">
        <f t="shared" si="54"/>
        <v>304.6536158548052</v>
      </c>
      <c r="M126" s="38">
        <f t="shared" si="55"/>
        <v>60.930723170961038</v>
      </c>
      <c r="N126" s="38">
        <f t="shared" si="55"/>
        <v>60.930723170961038</v>
      </c>
      <c r="O126" s="38">
        <f t="shared" si="55"/>
        <v>60.930723170961038</v>
      </c>
      <c r="P126" s="38">
        <f t="shared" si="55"/>
        <v>60.930723170961038</v>
      </c>
      <c r="Q126" s="38">
        <f t="shared" si="55"/>
        <v>60.930723170961038</v>
      </c>
      <c r="R126" s="38">
        <f t="shared" si="56"/>
        <v>152.3268079274026</v>
      </c>
      <c r="S126" s="38">
        <f t="shared" si="56"/>
        <v>152.3268079274026</v>
      </c>
    </row>
    <row r="127" spans="1:19" s="9" customFormat="1" ht="13.2">
      <c r="A127" s="31"/>
      <c r="B127" s="125"/>
      <c r="C127" s="125" t="str">
        <f>+IFERROR(VLOOKUP($B127, 'Services to Beneficiaries'!$B$7:$C$17, 2, 0), " ")</f>
        <v xml:space="preserve"> </v>
      </c>
      <c r="D127" s="32" t="s">
        <v>506</v>
      </c>
      <c r="E127" s="34" t="s">
        <v>488</v>
      </c>
      <c r="F127" s="34">
        <v>1</v>
      </c>
      <c r="G127" s="34" t="s">
        <v>418</v>
      </c>
      <c r="H127" s="34">
        <v>24</v>
      </c>
      <c r="I127" s="34"/>
      <c r="J127" s="35">
        <v>1.72E-2</v>
      </c>
      <c r="K127" s="34">
        <v>968.77973168806795</v>
      </c>
      <c r="L127" s="38">
        <f t="shared" si="54"/>
        <v>399.91227324083445</v>
      </c>
      <c r="M127" s="38">
        <f t="shared" si="55"/>
        <v>79.982454648166893</v>
      </c>
      <c r="N127" s="38">
        <f t="shared" si="55"/>
        <v>79.982454648166893</v>
      </c>
      <c r="O127" s="38">
        <f t="shared" si="55"/>
        <v>79.982454648166893</v>
      </c>
      <c r="P127" s="38">
        <f t="shared" si="55"/>
        <v>79.982454648166893</v>
      </c>
      <c r="Q127" s="38">
        <f t="shared" si="55"/>
        <v>79.982454648166893</v>
      </c>
      <c r="R127" s="38">
        <f t="shared" si="56"/>
        <v>199.95613662041723</v>
      </c>
      <c r="S127" s="38">
        <f t="shared" si="56"/>
        <v>199.95613662041723</v>
      </c>
    </row>
    <row r="128" spans="1:19" s="9" customFormat="1" ht="13.2">
      <c r="A128" s="31"/>
      <c r="B128" s="125"/>
      <c r="C128" s="125" t="str">
        <f>+IFERROR(VLOOKUP($B128, 'Services to Beneficiaries'!$B$7:$C$17, 2, 0), " ")</f>
        <v xml:space="preserve"> </v>
      </c>
      <c r="D128" s="32" t="s">
        <v>507</v>
      </c>
      <c r="E128" s="34" t="s">
        <v>499</v>
      </c>
      <c r="F128" s="34">
        <v>1</v>
      </c>
      <c r="G128" s="34" t="s">
        <v>418</v>
      </c>
      <c r="H128" s="34">
        <v>24</v>
      </c>
      <c r="I128" s="34"/>
      <c r="J128" s="35">
        <v>1.72E-2</v>
      </c>
      <c r="K128" s="34">
        <v>395.36650728665541</v>
      </c>
      <c r="L128" s="218">
        <f t="shared" si="54"/>
        <v>163.20729420793134</v>
      </c>
      <c r="M128" s="38">
        <f t="shared" si="55"/>
        <v>32.641458841586271</v>
      </c>
      <c r="N128" s="38">
        <f t="shared" si="55"/>
        <v>32.641458841586271</v>
      </c>
      <c r="O128" s="38">
        <f t="shared" si="55"/>
        <v>32.641458841586271</v>
      </c>
      <c r="P128" s="38">
        <f t="shared" si="55"/>
        <v>32.641458841586271</v>
      </c>
      <c r="Q128" s="38">
        <f t="shared" si="55"/>
        <v>32.641458841586271</v>
      </c>
      <c r="R128" s="38">
        <f t="shared" si="56"/>
        <v>81.60364710396567</v>
      </c>
      <c r="S128" s="38">
        <f t="shared" si="56"/>
        <v>81.60364710396567</v>
      </c>
    </row>
    <row r="129" spans="1:19" s="9" customFormat="1" ht="13.2">
      <c r="A129" s="31"/>
      <c r="B129" s="125"/>
      <c r="C129" s="125" t="str">
        <f>+IFERROR(VLOOKUP($B129, 'Services to Beneficiaries'!$B$7:$C$17, 2, 0), " ")</f>
        <v xml:space="preserve"> </v>
      </c>
      <c r="D129" s="32" t="s">
        <v>508</v>
      </c>
      <c r="E129" s="34" t="s">
        <v>509</v>
      </c>
      <c r="F129" s="34">
        <v>1</v>
      </c>
      <c r="G129" s="34" t="s">
        <v>418</v>
      </c>
      <c r="H129" s="34">
        <v>24</v>
      </c>
      <c r="I129" s="34"/>
      <c r="J129" s="35">
        <v>1.72E-2</v>
      </c>
      <c r="K129" s="34">
        <v>811.29549946194675</v>
      </c>
      <c r="L129" s="218">
        <f t="shared" si="54"/>
        <v>334.90278217789159</v>
      </c>
      <c r="M129" s="38">
        <f t="shared" si="55"/>
        <v>66.980556435578322</v>
      </c>
      <c r="N129" s="38">
        <f t="shared" si="55"/>
        <v>66.980556435578322</v>
      </c>
      <c r="O129" s="38">
        <f t="shared" si="55"/>
        <v>66.980556435578322</v>
      </c>
      <c r="P129" s="38">
        <f t="shared" si="55"/>
        <v>66.980556435578322</v>
      </c>
      <c r="Q129" s="38">
        <f t="shared" si="55"/>
        <v>66.980556435578322</v>
      </c>
      <c r="R129" s="38">
        <f t="shared" si="56"/>
        <v>167.4513910889458</v>
      </c>
      <c r="S129" s="38">
        <f t="shared" si="56"/>
        <v>167.4513910889458</v>
      </c>
    </row>
    <row r="130" spans="1:19" s="9" customFormat="1" ht="13.2">
      <c r="A130" s="31"/>
      <c r="B130" s="125"/>
      <c r="C130" s="125" t="str">
        <f>+IFERROR(VLOOKUP($B130, 'Services to Beneficiaries'!$B$7:$C$17, 2, 0), " ")</f>
        <v xml:space="preserve"> </v>
      </c>
      <c r="D130" s="32" t="s">
        <v>510</v>
      </c>
      <c r="E130" s="34" t="s">
        <v>492</v>
      </c>
      <c r="F130" s="34">
        <v>1</v>
      </c>
      <c r="G130" s="34" t="s">
        <v>418</v>
      </c>
      <c r="H130" s="34">
        <v>24</v>
      </c>
      <c r="I130" s="34"/>
      <c r="J130" s="35">
        <v>1.72E-2</v>
      </c>
      <c r="K130" s="34">
        <v>3162.9320582932432</v>
      </c>
      <c r="L130" s="38">
        <f t="shared" si="54"/>
        <v>1305.6583536634507</v>
      </c>
      <c r="M130" s="38">
        <f t="shared" si="55"/>
        <v>261.13167073269017</v>
      </c>
      <c r="N130" s="38">
        <f t="shared" si="55"/>
        <v>261.13167073269017</v>
      </c>
      <c r="O130" s="38">
        <f t="shared" si="55"/>
        <v>261.13167073269017</v>
      </c>
      <c r="P130" s="38">
        <f t="shared" si="55"/>
        <v>261.13167073269017</v>
      </c>
      <c r="Q130" s="38">
        <f t="shared" si="55"/>
        <v>261.13167073269017</v>
      </c>
      <c r="R130" s="38">
        <f t="shared" si="56"/>
        <v>652.82917683172536</v>
      </c>
      <c r="S130" s="38">
        <f t="shared" si="56"/>
        <v>652.82917683172536</v>
      </c>
    </row>
    <row r="131" spans="1:19" s="9" customFormat="1" ht="13.2">
      <c r="A131" s="31"/>
      <c r="B131" s="125"/>
      <c r="C131" s="125" t="str">
        <f>+IFERROR(VLOOKUP($B131, 'Services to Beneficiaries'!$B$7:$C$17, 2, 0), " ")</f>
        <v xml:space="preserve"> </v>
      </c>
      <c r="D131" s="32" t="s">
        <v>511</v>
      </c>
      <c r="E131" s="34" t="s">
        <v>512</v>
      </c>
      <c r="F131" s="34">
        <v>1</v>
      </c>
      <c r="G131" s="34" t="s">
        <v>418</v>
      </c>
      <c r="H131" s="34">
        <v>24</v>
      </c>
      <c r="I131" s="34"/>
      <c r="J131" s="35">
        <v>1.72E-2</v>
      </c>
      <c r="K131" s="34">
        <v>738.01748026842347</v>
      </c>
      <c r="L131" s="38">
        <f t="shared" si="54"/>
        <v>304.6536158548052</v>
      </c>
      <c r="M131" s="38">
        <f t="shared" si="55"/>
        <v>60.930723170961038</v>
      </c>
      <c r="N131" s="38">
        <f t="shared" si="55"/>
        <v>60.930723170961038</v>
      </c>
      <c r="O131" s="38">
        <f t="shared" si="55"/>
        <v>60.930723170961038</v>
      </c>
      <c r="P131" s="38">
        <f t="shared" si="55"/>
        <v>60.930723170961038</v>
      </c>
      <c r="Q131" s="38">
        <f t="shared" si="55"/>
        <v>60.930723170961038</v>
      </c>
      <c r="R131" s="38">
        <f t="shared" si="56"/>
        <v>152.3268079274026</v>
      </c>
      <c r="S131" s="38">
        <f t="shared" si="56"/>
        <v>152.3268079274026</v>
      </c>
    </row>
    <row r="132" spans="1:19" s="9" customFormat="1" ht="13.2">
      <c r="A132" s="31"/>
      <c r="B132" s="125"/>
      <c r="C132" s="125" t="str">
        <f>+IFERROR(VLOOKUP($B132, 'Services to Beneficiaries'!$B$7:$C$17, 2, 0), " ")</f>
        <v xml:space="preserve"> </v>
      </c>
      <c r="D132" s="32" t="s">
        <v>513</v>
      </c>
      <c r="E132" s="34" t="s">
        <v>490</v>
      </c>
      <c r="F132" s="34">
        <v>1</v>
      </c>
      <c r="G132" s="34" t="s">
        <v>418</v>
      </c>
      <c r="H132" s="34">
        <v>24</v>
      </c>
      <c r="I132" s="34"/>
      <c r="J132" s="35">
        <v>1.72E-2</v>
      </c>
      <c r="K132" s="34">
        <v>267.71803744796665</v>
      </c>
      <c r="L132" s="38">
        <f t="shared" si="54"/>
        <v>110.51400585852063</v>
      </c>
      <c r="M132" s="38">
        <f t="shared" si="55"/>
        <v>22.102801171704126</v>
      </c>
      <c r="N132" s="38">
        <f t="shared" si="55"/>
        <v>22.102801171704126</v>
      </c>
      <c r="O132" s="38">
        <f t="shared" si="55"/>
        <v>22.102801171704126</v>
      </c>
      <c r="P132" s="38">
        <f t="shared" si="55"/>
        <v>22.102801171704126</v>
      </c>
      <c r="Q132" s="38">
        <f t="shared" si="55"/>
        <v>22.102801171704126</v>
      </c>
      <c r="R132" s="38">
        <f t="shared" si="56"/>
        <v>55.257002929260317</v>
      </c>
      <c r="S132" s="38">
        <f t="shared" si="56"/>
        <v>55.257002929260317</v>
      </c>
    </row>
    <row r="133" spans="1:19" s="9" customFormat="1" ht="13.2">
      <c r="A133" s="31"/>
      <c r="B133" s="125"/>
      <c r="C133" s="125" t="str">
        <f>+IFERROR(VLOOKUP($B133, 'Services to Beneficiaries'!$B$7:$C$17, 2, 0), " ")</f>
        <v xml:space="preserve"> </v>
      </c>
      <c r="D133" s="32" t="s">
        <v>514</v>
      </c>
      <c r="E133" s="34" t="s">
        <v>515</v>
      </c>
      <c r="F133" s="34">
        <v>1</v>
      </c>
      <c r="G133" s="34" t="s">
        <v>418</v>
      </c>
      <c r="H133" s="34">
        <v>24</v>
      </c>
      <c r="I133" s="34"/>
      <c r="J133" s="35">
        <v>1.72E-2</v>
      </c>
      <c r="K133" s="34">
        <v>9225.2185033552923</v>
      </c>
      <c r="L133" s="38">
        <f t="shared" si="54"/>
        <v>3808.1701981850647</v>
      </c>
      <c r="M133" s="38">
        <f t="shared" si="55"/>
        <v>761.63403963701296</v>
      </c>
      <c r="N133" s="38">
        <f t="shared" si="55"/>
        <v>761.63403963701296</v>
      </c>
      <c r="O133" s="38">
        <f t="shared" si="55"/>
        <v>761.63403963701296</v>
      </c>
      <c r="P133" s="38">
        <f t="shared" si="55"/>
        <v>761.63403963701296</v>
      </c>
      <c r="Q133" s="38">
        <f t="shared" si="55"/>
        <v>761.63403963701296</v>
      </c>
      <c r="R133" s="38">
        <f t="shared" si="56"/>
        <v>1904.0850990925323</v>
      </c>
      <c r="S133" s="38">
        <f t="shared" si="56"/>
        <v>1904.0850990925323</v>
      </c>
    </row>
    <row r="134" spans="1:19" s="169" customFormat="1" ht="15.6">
      <c r="B134" s="170"/>
      <c r="C134" s="170"/>
      <c r="D134" s="170" t="s">
        <v>253</v>
      </c>
      <c r="E134" s="171" t="s">
        <v>254</v>
      </c>
      <c r="F134" s="171"/>
      <c r="G134" s="171"/>
      <c r="H134" s="171"/>
      <c r="I134" s="171"/>
      <c r="J134" s="21"/>
      <c r="K134" s="22"/>
      <c r="L134" s="8">
        <f>SUM(L135:L136)</f>
        <v>22202.878924191253</v>
      </c>
      <c r="M134" s="8">
        <f t="shared" ref="M134:R134" si="57">SUM(M135:M136)</f>
        <v>4440.5757848382509</v>
      </c>
      <c r="N134" s="8">
        <f t="shared" si="57"/>
        <v>4440.5757848382509</v>
      </c>
      <c r="O134" s="8">
        <f t="shared" si="57"/>
        <v>4440.5757848382509</v>
      </c>
      <c r="P134" s="8">
        <f t="shared" si="57"/>
        <v>4440.5757848382509</v>
      </c>
      <c r="Q134" s="8">
        <f t="shared" si="57"/>
        <v>4440.5757848382509</v>
      </c>
      <c r="R134" s="8">
        <f t="shared" si="57"/>
        <v>0</v>
      </c>
      <c r="S134" s="8">
        <f>SUM(S135:S136)</f>
        <v>22202.878924191253</v>
      </c>
    </row>
    <row r="135" spans="1:19" s="9" customFormat="1" ht="13.2">
      <c r="A135" s="177"/>
      <c r="B135" s="125"/>
      <c r="C135" s="125" t="str">
        <f>+IFERROR(VLOOKUP($B135, 'Services to Beneficiaries'!$B$7:$C$17, 2, 0), " ")</f>
        <v xml:space="preserve"> </v>
      </c>
      <c r="D135" s="32" t="s">
        <v>255</v>
      </c>
      <c r="E135" s="34" t="s">
        <v>256</v>
      </c>
      <c r="F135" s="34">
        <v>1</v>
      </c>
      <c r="G135" s="34" t="s">
        <v>516</v>
      </c>
      <c r="H135" s="34">
        <v>1</v>
      </c>
      <c r="I135" s="34"/>
      <c r="J135" s="35">
        <v>1</v>
      </c>
      <c r="K135" s="217">
        <f>12220-1500.13/1.055</f>
        <v>10798.075829383886</v>
      </c>
      <c r="L135" s="38">
        <f>+H135*J135*K135*F135</f>
        <v>10798.075829383886</v>
      </c>
      <c r="M135" s="38">
        <f t="shared" ref="M135:Q136" si="58">$L135/5</f>
        <v>2159.6151658767772</v>
      </c>
      <c r="N135" s="38">
        <f t="shared" si="58"/>
        <v>2159.6151658767772</v>
      </c>
      <c r="O135" s="38">
        <f t="shared" si="58"/>
        <v>2159.6151658767772</v>
      </c>
      <c r="P135" s="38">
        <f t="shared" si="58"/>
        <v>2159.6151658767772</v>
      </c>
      <c r="Q135" s="38">
        <f t="shared" si="58"/>
        <v>2159.6151658767772</v>
      </c>
      <c r="R135" s="38"/>
      <c r="S135" s="38">
        <f>$L135</f>
        <v>10798.075829383886</v>
      </c>
    </row>
    <row r="136" spans="1:19" s="9" customFormat="1" ht="13.2">
      <c r="A136" s="177"/>
      <c r="B136" s="125"/>
      <c r="C136" s="125" t="str">
        <f>+IFERROR(VLOOKUP($B136, 'Services to Beneficiaries'!$B$7:$C$17, 2, 0), " ")</f>
        <v xml:space="preserve"> </v>
      </c>
      <c r="D136" s="32" t="s">
        <v>258</v>
      </c>
      <c r="E136" s="34" t="s">
        <v>259</v>
      </c>
      <c r="F136" s="34">
        <v>1</v>
      </c>
      <c r="G136" s="34" t="s">
        <v>516</v>
      </c>
      <c r="H136" s="34">
        <v>1</v>
      </c>
      <c r="I136" s="34"/>
      <c r="J136" s="35">
        <v>1</v>
      </c>
      <c r="K136" s="34">
        <v>11404.803094807368</v>
      </c>
      <c r="L136" s="38">
        <f>+H136*J136*K136*F136</f>
        <v>11404.803094807368</v>
      </c>
      <c r="M136" s="38">
        <f t="shared" si="58"/>
        <v>2280.9606189614738</v>
      </c>
      <c r="N136" s="38">
        <f t="shared" si="58"/>
        <v>2280.9606189614738</v>
      </c>
      <c r="O136" s="38">
        <f t="shared" si="58"/>
        <v>2280.9606189614738</v>
      </c>
      <c r="P136" s="38">
        <f t="shared" si="58"/>
        <v>2280.9606189614738</v>
      </c>
      <c r="Q136" s="38">
        <f t="shared" si="58"/>
        <v>2280.9606189614738</v>
      </c>
      <c r="R136" s="38"/>
      <c r="S136" s="38">
        <f>$L136</f>
        <v>11404.803094807368</v>
      </c>
    </row>
    <row r="137" spans="1:19" s="169" customFormat="1" ht="15.6">
      <c r="B137" s="170"/>
      <c r="C137" s="170"/>
      <c r="D137" s="170" t="s">
        <v>261</v>
      </c>
      <c r="E137" s="171" t="s">
        <v>262</v>
      </c>
      <c r="F137" s="171"/>
      <c r="G137" s="171"/>
      <c r="H137" s="171"/>
      <c r="I137" s="171"/>
      <c r="J137" s="21"/>
      <c r="K137" s="22"/>
      <c r="L137" s="8">
        <f t="shared" ref="L137:S137" si="59">SUM(L138,L145,L151,L156,L163,L168)</f>
        <v>624969.40559151862</v>
      </c>
      <c r="M137" s="8">
        <f t="shared" si="59"/>
        <v>111996.27589530943</v>
      </c>
      <c r="N137" s="8">
        <f t="shared" si="59"/>
        <v>371778.25661054766</v>
      </c>
      <c r="O137" s="8">
        <f t="shared" si="59"/>
        <v>51397.956846703171</v>
      </c>
      <c r="P137" s="8">
        <f t="shared" si="59"/>
        <v>24175.490464261093</v>
      </c>
      <c r="Q137" s="8">
        <f t="shared" si="59"/>
        <v>65621.425774697287</v>
      </c>
      <c r="R137" s="8">
        <f t="shared" si="59"/>
        <v>298448.14959450002</v>
      </c>
      <c r="S137" s="8">
        <f t="shared" si="59"/>
        <v>326521.25599701866</v>
      </c>
    </row>
    <row r="138" spans="1:19" s="176" customFormat="1" ht="18.75" customHeight="1">
      <c r="A138" s="9"/>
      <c r="B138" s="172"/>
      <c r="C138" s="172"/>
      <c r="D138" s="172" t="s">
        <v>263</v>
      </c>
      <c r="E138" s="178" t="s">
        <v>264</v>
      </c>
      <c r="F138" s="173"/>
      <c r="G138" s="173"/>
      <c r="H138" s="173"/>
      <c r="I138" s="173"/>
      <c r="J138" s="27"/>
      <c r="K138" s="174"/>
      <c r="L138" s="175">
        <f t="shared" ref="L138:S138" si="60">SUM(L139:L144)</f>
        <v>24190.066084216331</v>
      </c>
      <c r="M138" s="175">
        <f t="shared" si="60"/>
        <v>4838.0132168432665</v>
      </c>
      <c r="N138" s="175">
        <f t="shared" si="60"/>
        <v>4838.0132168432665</v>
      </c>
      <c r="O138" s="175">
        <f t="shared" si="60"/>
        <v>4838.0132168432665</v>
      </c>
      <c r="P138" s="175">
        <f t="shared" si="60"/>
        <v>4838.0132168432665</v>
      </c>
      <c r="Q138" s="175">
        <f t="shared" si="60"/>
        <v>4838.0132168432665</v>
      </c>
      <c r="R138" s="175">
        <f t="shared" si="60"/>
        <v>13990.51131646515</v>
      </c>
      <c r="S138" s="175">
        <f t="shared" si="60"/>
        <v>10199.55476775118</v>
      </c>
    </row>
    <row r="139" spans="1:19" s="9" customFormat="1" ht="13.2">
      <c r="A139" s="31"/>
      <c r="B139" s="125"/>
      <c r="C139" s="125" t="str">
        <f>+IFERROR(VLOOKUP($B139, 'Services to Beneficiaries'!$B$7:$C$17, 2, 0), " ")</f>
        <v xml:space="preserve"> </v>
      </c>
      <c r="D139" s="32" t="s">
        <v>265</v>
      </c>
      <c r="E139" s="34" t="s">
        <v>517</v>
      </c>
      <c r="F139" s="34">
        <v>25</v>
      </c>
      <c r="G139" s="34" t="s">
        <v>518</v>
      </c>
      <c r="H139" s="34">
        <v>2</v>
      </c>
      <c r="I139" s="34"/>
      <c r="J139" s="35">
        <v>1</v>
      </c>
      <c r="K139" s="34">
        <v>18.805253102993483</v>
      </c>
      <c r="L139" s="38">
        <f t="shared" ref="L139:L144" si="61">+H139*J139*K139*F139</f>
        <v>940.26265514967417</v>
      </c>
      <c r="M139" s="38">
        <f t="shared" ref="M139:Q144" si="62">$L139/5</f>
        <v>188.05253102993484</v>
      </c>
      <c r="N139" s="38">
        <f t="shared" si="62"/>
        <v>188.05253102993484</v>
      </c>
      <c r="O139" s="38">
        <f t="shared" si="62"/>
        <v>188.05253102993484</v>
      </c>
      <c r="P139" s="38">
        <f t="shared" si="62"/>
        <v>188.05253102993484</v>
      </c>
      <c r="Q139" s="38">
        <f t="shared" si="62"/>
        <v>188.05253102993484</v>
      </c>
      <c r="R139" s="38">
        <f>$L139</f>
        <v>940.26265514967417</v>
      </c>
      <c r="S139" s="38"/>
    </row>
    <row r="140" spans="1:19" s="9" customFormat="1" ht="13.2">
      <c r="A140" s="31"/>
      <c r="B140" s="125"/>
      <c r="C140" s="125" t="str">
        <f>+IFERROR(VLOOKUP($B140, 'Services to Beneficiaries'!$B$7:$C$17, 2, 0), " ")</f>
        <v xml:space="preserve"> </v>
      </c>
      <c r="D140" s="32" t="s">
        <v>268</v>
      </c>
      <c r="E140" s="34" t="s">
        <v>519</v>
      </c>
      <c r="F140" s="34">
        <v>40</v>
      </c>
      <c r="G140" s="34" t="s">
        <v>518</v>
      </c>
      <c r="H140" s="34">
        <v>1</v>
      </c>
      <c r="I140" s="34"/>
      <c r="J140" s="35">
        <v>1</v>
      </c>
      <c r="K140" s="34">
        <v>28.182535647612873</v>
      </c>
      <c r="L140" s="38">
        <f t="shared" si="61"/>
        <v>1127.3014259045149</v>
      </c>
      <c r="M140" s="38">
        <f t="shared" si="62"/>
        <v>225.46028518090299</v>
      </c>
      <c r="N140" s="38">
        <f t="shared" si="62"/>
        <v>225.46028518090299</v>
      </c>
      <c r="O140" s="38">
        <f t="shared" si="62"/>
        <v>225.46028518090299</v>
      </c>
      <c r="P140" s="38">
        <f t="shared" si="62"/>
        <v>225.46028518090299</v>
      </c>
      <c r="Q140" s="38">
        <f t="shared" si="62"/>
        <v>225.46028518090299</v>
      </c>
      <c r="R140" s="38">
        <f>$L140</f>
        <v>1127.3014259045149</v>
      </c>
      <c r="S140" s="38"/>
    </row>
    <row r="141" spans="1:19" s="9" customFormat="1" ht="13.2">
      <c r="A141" s="31"/>
      <c r="B141" s="125"/>
      <c r="C141" s="125" t="str">
        <f>+IFERROR(VLOOKUP($B141, 'Services to Beneficiaries'!$B$7:$C$17, 2, 0), " ")</f>
        <v xml:space="preserve"> </v>
      </c>
      <c r="D141" s="32" t="s">
        <v>271</v>
      </c>
      <c r="E141" s="109" t="s">
        <v>520</v>
      </c>
      <c r="F141" s="34">
        <v>100</v>
      </c>
      <c r="G141" s="34" t="s">
        <v>518</v>
      </c>
      <c r="H141" s="34">
        <v>1</v>
      </c>
      <c r="I141" s="34"/>
      <c r="J141" s="35">
        <v>1</v>
      </c>
      <c r="K141" s="34">
        <v>38.016010316024555</v>
      </c>
      <c r="L141" s="38">
        <f t="shared" si="61"/>
        <v>3801.6010316024554</v>
      </c>
      <c r="M141" s="38">
        <f t="shared" si="62"/>
        <v>760.32020632049102</v>
      </c>
      <c r="N141" s="38">
        <f t="shared" si="62"/>
        <v>760.32020632049102</v>
      </c>
      <c r="O141" s="38">
        <f t="shared" si="62"/>
        <v>760.32020632049102</v>
      </c>
      <c r="P141" s="38">
        <f t="shared" si="62"/>
        <v>760.32020632049102</v>
      </c>
      <c r="Q141" s="38">
        <f t="shared" si="62"/>
        <v>760.32020632049102</v>
      </c>
      <c r="R141" s="38"/>
      <c r="S141" s="38">
        <f>$L141</f>
        <v>3801.6010316024554</v>
      </c>
    </row>
    <row r="142" spans="1:19" s="9" customFormat="1" ht="26.4">
      <c r="A142" s="31"/>
      <c r="B142" s="125"/>
      <c r="C142" s="125" t="str">
        <f>+IFERROR(VLOOKUP($B142, 'Services to Beneficiaries'!$B$7:$C$17, 2, 0), " ")</f>
        <v xml:space="preserve"> </v>
      </c>
      <c r="D142" s="32" t="s">
        <v>273</v>
      </c>
      <c r="E142" s="109" t="s">
        <v>521</v>
      </c>
      <c r="F142" s="34">
        <v>2</v>
      </c>
      <c r="G142" s="34" t="s">
        <v>518</v>
      </c>
      <c r="H142" s="34">
        <v>4</v>
      </c>
      <c r="I142" s="34"/>
      <c r="J142" s="35">
        <v>1</v>
      </c>
      <c r="K142" s="34">
        <v>1203.8403266741111</v>
      </c>
      <c r="L142" s="38">
        <f t="shared" si="61"/>
        <v>9630.7226133928889</v>
      </c>
      <c r="M142" s="38">
        <f t="shared" si="62"/>
        <v>1926.1445226785777</v>
      </c>
      <c r="N142" s="38">
        <f t="shared" si="62"/>
        <v>1926.1445226785777</v>
      </c>
      <c r="O142" s="38">
        <f t="shared" si="62"/>
        <v>1926.1445226785777</v>
      </c>
      <c r="P142" s="38">
        <f t="shared" si="62"/>
        <v>1926.1445226785777</v>
      </c>
      <c r="Q142" s="38">
        <f t="shared" si="62"/>
        <v>1926.1445226785777</v>
      </c>
      <c r="R142" s="38">
        <f>$L142/2</f>
        <v>4815.3613066964444</v>
      </c>
      <c r="S142" s="38">
        <f>$L142/2</f>
        <v>4815.3613066964444</v>
      </c>
    </row>
    <row r="143" spans="1:19" s="9" customFormat="1" ht="13.2">
      <c r="A143" s="31"/>
      <c r="B143" s="125"/>
      <c r="C143" s="125" t="str">
        <f>+IFERROR(VLOOKUP($B143, 'Services to Beneficiaries'!$B$7:$C$17, 2, 0), " ")</f>
        <v xml:space="preserve"> </v>
      </c>
      <c r="D143" s="32" t="s">
        <v>275</v>
      </c>
      <c r="E143" s="109" t="s">
        <v>522</v>
      </c>
      <c r="F143" s="34">
        <v>1</v>
      </c>
      <c r="G143" s="34" t="s">
        <v>516</v>
      </c>
      <c r="H143" s="34">
        <v>1</v>
      </c>
      <c r="I143" s="34"/>
      <c r="J143" s="35">
        <v>1</v>
      </c>
      <c r="K143" s="34">
        <v>5524.9934992622357</v>
      </c>
      <c r="L143" s="38">
        <f t="shared" si="61"/>
        <v>5524.9934992622357</v>
      </c>
      <c r="M143" s="38">
        <f t="shared" si="62"/>
        <v>1104.9986998524471</v>
      </c>
      <c r="N143" s="38">
        <f t="shared" si="62"/>
        <v>1104.9986998524471</v>
      </c>
      <c r="O143" s="38">
        <f t="shared" si="62"/>
        <v>1104.9986998524471</v>
      </c>
      <c r="P143" s="38">
        <f t="shared" si="62"/>
        <v>1104.9986998524471</v>
      </c>
      <c r="Q143" s="38">
        <f t="shared" si="62"/>
        <v>1104.9986998524471</v>
      </c>
      <c r="R143" s="38">
        <f>$L143</f>
        <v>5524.9934992622357</v>
      </c>
      <c r="S143" s="38"/>
    </row>
    <row r="144" spans="1:19" s="9" customFormat="1" ht="13.2">
      <c r="A144" s="31"/>
      <c r="B144" s="125"/>
      <c r="C144" s="125" t="str">
        <f>+IFERROR(VLOOKUP($B144, 'Services to Beneficiaries'!$B$7:$C$17, 2, 0), " ")</f>
        <v xml:space="preserve"> </v>
      </c>
      <c r="D144" s="32" t="s">
        <v>523</v>
      </c>
      <c r="E144" s="34" t="s">
        <v>524</v>
      </c>
      <c r="F144" s="34">
        <v>20</v>
      </c>
      <c r="G144" s="34" t="s">
        <v>518</v>
      </c>
      <c r="H144" s="34">
        <v>8</v>
      </c>
      <c r="I144" s="34"/>
      <c r="J144" s="35">
        <v>1</v>
      </c>
      <c r="K144" s="34">
        <v>19.782405368153508</v>
      </c>
      <c r="L144" s="38">
        <f t="shared" si="61"/>
        <v>3165.1848589045612</v>
      </c>
      <c r="M144" s="38">
        <f t="shared" si="62"/>
        <v>633.03697178091227</v>
      </c>
      <c r="N144" s="38">
        <f t="shared" si="62"/>
        <v>633.03697178091227</v>
      </c>
      <c r="O144" s="38">
        <f t="shared" si="62"/>
        <v>633.03697178091227</v>
      </c>
      <c r="P144" s="38">
        <f t="shared" si="62"/>
        <v>633.03697178091227</v>
      </c>
      <c r="Q144" s="38">
        <f t="shared" si="62"/>
        <v>633.03697178091227</v>
      </c>
      <c r="R144" s="38">
        <f>$L144/2</f>
        <v>1582.5924294522806</v>
      </c>
      <c r="S144" s="38">
        <f>$L144/2</f>
        <v>1582.5924294522806</v>
      </c>
    </row>
    <row r="145" spans="1:19" s="176" customFormat="1" ht="23.25" customHeight="1">
      <c r="A145" s="9"/>
      <c r="B145" s="172"/>
      <c r="C145" s="172"/>
      <c r="D145" s="172" t="s">
        <v>49</v>
      </c>
      <c r="E145" s="178" t="s">
        <v>525</v>
      </c>
      <c r="F145" s="173"/>
      <c r="G145" s="173"/>
      <c r="H145" s="173"/>
      <c r="I145" s="173"/>
      <c r="J145" s="27"/>
      <c r="K145" s="174"/>
      <c r="L145" s="175">
        <f t="shared" ref="L145:S145" si="63">SUM(L146,L147,L148,L149,L150)</f>
        <v>107158.26267846617</v>
      </c>
      <c r="M145" s="175">
        <f t="shared" si="63"/>
        <v>107158.26267846617</v>
      </c>
      <c r="N145" s="175">
        <f t="shared" si="63"/>
        <v>0</v>
      </c>
      <c r="O145" s="175">
        <f t="shared" si="63"/>
        <v>0</v>
      </c>
      <c r="P145" s="175">
        <f t="shared" si="63"/>
        <v>0</v>
      </c>
      <c r="Q145" s="175">
        <f t="shared" si="63"/>
        <v>0</v>
      </c>
      <c r="R145" s="175">
        <f t="shared" si="63"/>
        <v>70143.340634096909</v>
      </c>
      <c r="S145" s="175">
        <f t="shared" si="63"/>
        <v>37014.922044369254</v>
      </c>
    </row>
    <row r="146" spans="1:19" s="13" customFormat="1" ht="22.5" customHeight="1">
      <c r="A146" s="9"/>
      <c r="B146" s="40" t="s">
        <v>14</v>
      </c>
      <c r="C146" s="189" t="str">
        <f>+IFERROR(VLOOKUP($B146, 'Services to Beneficiaries'!$B$7:$C$17, 2, 0), " ")</f>
        <v>Protection    </v>
      </c>
      <c r="D146" s="189" t="s">
        <v>279</v>
      </c>
      <c r="E146" s="299" t="s">
        <v>526</v>
      </c>
      <c r="F146" s="300"/>
      <c r="G146" s="300"/>
      <c r="H146" s="300"/>
      <c r="I146" s="300"/>
      <c r="J146" s="300"/>
      <c r="K146" s="190"/>
      <c r="L146" s="191">
        <v>69319.660410583048</v>
      </c>
      <c r="M146" s="191">
        <v>69319.660410583048</v>
      </c>
      <c r="N146" s="191">
        <v>0</v>
      </c>
      <c r="O146" s="191">
        <v>0</v>
      </c>
      <c r="P146" s="191">
        <v>0</v>
      </c>
      <c r="Q146" s="191">
        <v>0</v>
      </c>
      <c r="R146" s="191">
        <v>38450.660033971108</v>
      </c>
      <c r="S146" s="191">
        <v>30869.000376611944</v>
      </c>
    </row>
    <row r="147" spans="1:19" s="13" customFormat="1" ht="29.25" customHeight="1">
      <c r="A147" s="9"/>
      <c r="B147" s="40" t="s">
        <v>14</v>
      </c>
      <c r="C147" s="192" t="str">
        <f>+IFERROR(VLOOKUP($B147, 'Services to Beneficiaries'!$B$7:$C$17, 2, 0), " ")</f>
        <v>Protection    </v>
      </c>
      <c r="D147" s="192" t="s">
        <v>281</v>
      </c>
      <c r="E147" s="296" t="s">
        <v>527</v>
      </c>
      <c r="F147" s="297"/>
      <c r="G147" s="297"/>
      <c r="H147" s="297"/>
      <c r="I147" s="297"/>
      <c r="J147" s="297"/>
      <c r="K147" s="193"/>
      <c r="L147" s="194">
        <v>5601.025519894285</v>
      </c>
      <c r="M147" s="194">
        <v>5601.025519894285</v>
      </c>
      <c r="N147" s="194">
        <v>0</v>
      </c>
      <c r="O147" s="194">
        <v>0</v>
      </c>
      <c r="P147" s="194">
        <v>0</v>
      </c>
      <c r="Q147" s="194">
        <v>0</v>
      </c>
      <c r="R147" s="194">
        <v>2800.5127599471425</v>
      </c>
      <c r="S147" s="194">
        <v>2800.5127599471425</v>
      </c>
    </row>
    <row r="148" spans="1:19" s="13" customFormat="1" ht="30" customHeight="1">
      <c r="A148" s="9"/>
      <c r="B148" s="40" t="s">
        <v>24</v>
      </c>
      <c r="C148" s="192" t="str">
        <f>+IFERROR(VLOOKUP($B148, 'Services to Beneficiaries'!$B$7:$C$17, 2, 0), " ")</f>
        <v xml:space="preserve">Capacity building related goods and services                                 </v>
      </c>
      <c r="D148" s="192" t="s">
        <v>283</v>
      </c>
      <c r="E148" s="296" t="s">
        <v>528</v>
      </c>
      <c r="F148" s="297"/>
      <c r="G148" s="297"/>
      <c r="H148" s="297"/>
      <c r="I148" s="297"/>
      <c r="J148" s="297"/>
      <c r="K148" s="193"/>
      <c r="L148" s="194">
        <v>9592.7066030768638</v>
      </c>
      <c r="M148" s="194">
        <v>9592.7066030768638</v>
      </c>
      <c r="N148" s="194">
        <v>0</v>
      </c>
      <c r="O148" s="194">
        <v>0</v>
      </c>
      <c r="P148" s="194">
        <v>0</v>
      </c>
      <c r="Q148" s="194">
        <v>0</v>
      </c>
      <c r="R148" s="194">
        <v>6804.8658465683957</v>
      </c>
      <c r="S148" s="194">
        <v>2787.8407565084676</v>
      </c>
    </row>
    <row r="149" spans="1:19" s="13" customFormat="1" ht="24.75" customHeight="1">
      <c r="A149" s="9"/>
      <c r="B149" s="40" t="s">
        <v>14</v>
      </c>
      <c r="C149" s="192" t="str">
        <f>+IFERROR(VLOOKUP($B149, 'Services to Beneficiaries'!$B$7:$C$17, 2, 0), " ")</f>
        <v>Protection    </v>
      </c>
      <c r="D149" s="192" t="s">
        <v>285</v>
      </c>
      <c r="E149" s="296" t="s">
        <v>529</v>
      </c>
      <c r="F149" s="297"/>
      <c r="G149" s="297"/>
      <c r="H149" s="297"/>
      <c r="I149" s="297"/>
      <c r="J149" s="297"/>
      <c r="K149" s="193"/>
      <c r="L149" s="194">
        <v>13850.499758471615</v>
      </c>
      <c r="M149" s="194">
        <v>13850.499758471615</v>
      </c>
      <c r="N149" s="194">
        <v>0</v>
      </c>
      <c r="O149" s="194">
        <v>0</v>
      </c>
      <c r="P149" s="194">
        <v>0</v>
      </c>
      <c r="Q149" s="194">
        <v>0</v>
      </c>
      <c r="R149" s="194">
        <v>13850.499758471615</v>
      </c>
      <c r="S149" s="194">
        <v>0</v>
      </c>
    </row>
    <row r="150" spans="1:19" s="13" customFormat="1" ht="22.5" customHeight="1">
      <c r="A150" s="9"/>
      <c r="B150" s="40" t="s">
        <v>14</v>
      </c>
      <c r="C150" s="192" t="str">
        <f>+IFERROR(VLOOKUP($B150, 'Services to Beneficiaries'!$B$7:$C$17, 2, 0), " ")</f>
        <v>Protection    </v>
      </c>
      <c r="D150" s="192" t="s">
        <v>287</v>
      </c>
      <c r="E150" s="296" t="s">
        <v>530</v>
      </c>
      <c r="F150" s="297"/>
      <c r="G150" s="297"/>
      <c r="H150" s="297"/>
      <c r="I150" s="297"/>
      <c r="J150" s="297"/>
      <c r="K150" s="195"/>
      <c r="L150" s="194">
        <v>8794.3703864403469</v>
      </c>
      <c r="M150" s="194">
        <v>8794.3703864403469</v>
      </c>
      <c r="N150" s="194">
        <v>0</v>
      </c>
      <c r="O150" s="194">
        <v>0</v>
      </c>
      <c r="P150" s="194">
        <v>0</v>
      </c>
      <c r="Q150" s="194">
        <v>0</v>
      </c>
      <c r="R150" s="194">
        <v>8236.8022351386535</v>
      </c>
      <c r="S150" s="194">
        <v>557.56815130169355</v>
      </c>
    </row>
    <row r="151" spans="1:19" s="176" customFormat="1" ht="21" customHeight="1">
      <c r="A151" s="9"/>
      <c r="B151" s="172"/>
      <c r="C151" s="172"/>
      <c r="D151" s="172" t="s">
        <v>50</v>
      </c>
      <c r="E151" s="173" t="s">
        <v>531</v>
      </c>
      <c r="F151" s="173"/>
      <c r="G151" s="173"/>
      <c r="H151" s="173"/>
      <c r="I151" s="173"/>
      <c r="J151" s="27"/>
      <c r="K151" s="174"/>
      <c r="L151" s="175">
        <f t="shared" ref="L151:S151" si="64">+SUM(L152, L153, L154, L155)</f>
        <v>366940.24339370441</v>
      </c>
      <c r="M151" s="175">
        <f t="shared" si="64"/>
        <v>0</v>
      </c>
      <c r="N151" s="175">
        <f t="shared" si="64"/>
        <v>366940.24339370441</v>
      </c>
      <c r="O151" s="175">
        <f t="shared" si="64"/>
        <v>0</v>
      </c>
      <c r="P151" s="175">
        <f t="shared" si="64"/>
        <v>0</v>
      </c>
      <c r="Q151" s="175">
        <f t="shared" si="64"/>
        <v>0</v>
      </c>
      <c r="R151" s="175">
        <f t="shared" si="64"/>
        <v>169298.03833064905</v>
      </c>
      <c r="S151" s="175">
        <f t="shared" si="64"/>
        <v>197642.20506305536</v>
      </c>
    </row>
    <row r="152" spans="1:19" s="13" customFormat="1" ht="39.6">
      <c r="A152" s="9"/>
      <c r="B152" s="40" t="s">
        <v>22</v>
      </c>
      <c r="C152" s="192" t="str">
        <f>+IFERROR(VLOOKUP($B152, 'Services to Beneficiaries'!$B$7:$C$17, 2, 0), " ")</f>
        <v xml:space="preserve">Planification, follow up and evaluation workshops related goods and services                                        </v>
      </c>
      <c r="D152" s="192" t="s">
        <v>290</v>
      </c>
      <c r="E152" s="296" t="s">
        <v>532</v>
      </c>
      <c r="F152" s="297"/>
      <c r="G152" s="297"/>
      <c r="H152" s="297"/>
      <c r="I152" s="297"/>
      <c r="J152" s="297"/>
      <c r="K152" s="193"/>
      <c r="L152" s="194">
        <v>1827.3028958569139</v>
      </c>
      <c r="M152" s="194">
        <v>0</v>
      </c>
      <c r="N152" s="194">
        <v>1827.3028958569139</v>
      </c>
      <c r="O152" s="194">
        <v>0</v>
      </c>
      <c r="P152" s="194">
        <v>0</v>
      </c>
      <c r="Q152" s="194">
        <v>0</v>
      </c>
      <c r="R152" s="194">
        <v>1654.9636490909359</v>
      </c>
      <c r="S152" s="194">
        <v>172.339246765978</v>
      </c>
    </row>
    <row r="153" spans="1:19" s="13" customFormat="1" ht="13.2">
      <c r="A153" s="9"/>
      <c r="B153" s="40" t="s">
        <v>14</v>
      </c>
      <c r="C153" s="192" t="str">
        <f>+IFERROR(VLOOKUP($B153, 'Services to Beneficiaries'!$B$7:$C$17, 2, 0), " ")</f>
        <v>Protection    </v>
      </c>
      <c r="D153" s="192" t="s">
        <v>292</v>
      </c>
      <c r="E153" s="296" t="s">
        <v>533</v>
      </c>
      <c r="F153" s="297"/>
      <c r="G153" s="297"/>
      <c r="H153" s="297"/>
      <c r="I153" s="297"/>
      <c r="J153" s="297"/>
      <c r="K153" s="193"/>
      <c r="L153" s="194">
        <v>200387.03339782538</v>
      </c>
      <c r="M153" s="194">
        <v>0</v>
      </c>
      <c r="N153" s="194">
        <v>200387.03339782538</v>
      </c>
      <c r="O153" s="194">
        <v>0</v>
      </c>
      <c r="P153" s="194">
        <v>0</v>
      </c>
      <c r="Q153" s="194">
        <v>0</v>
      </c>
      <c r="R153" s="194">
        <v>99735.438516670562</v>
      </c>
      <c r="S153" s="194">
        <v>100651.59488115482</v>
      </c>
    </row>
    <row r="154" spans="1:19" s="13" customFormat="1" ht="66">
      <c r="A154" s="9"/>
      <c r="B154" s="40" t="s">
        <v>20</v>
      </c>
      <c r="C154" s="192" t="str">
        <f>+IFERROR(VLOOKUP($B154,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54" s="192" t="s">
        <v>294</v>
      </c>
      <c r="E154" s="296" t="s">
        <v>534</v>
      </c>
      <c r="F154" s="297"/>
      <c r="G154" s="297"/>
      <c r="H154" s="297"/>
      <c r="I154" s="297"/>
      <c r="J154" s="297"/>
      <c r="K154" s="193"/>
      <c r="L154" s="194">
        <v>158764.9966824695</v>
      </c>
      <c r="M154" s="194">
        <v>0</v>
      </c>
      <c r="N154" s="194">
        <v>158764.9966824695</v>
      </c>
      <c r="O154" s="194">
        <v>0</v>
      </c>
      <c r="P154" s="194">
        <v>0</v>
      </c>
      <c r="Q154" s="194">
        <v>0</v>
      </c>
      <c r="R154" s="194">
        <v>63999.590304400241</v>
      </c>
      <c r="S154" s="194">
        <v>94765.406378069252</v>
      </c>
    </row>
    <row r="155" spans="1:19" s="13" customFormat="1" ht="26.4">
      <c r="A155" s="9"/>
      <c r="B155" s="40" t="s">
        <v>24</v>
      </c>
      <c r="C155" s="192" t="str">
        <f>+IFERROR(VLOOKUP($B155, 'Services to Beneficiaries'!$B$7:$C$17, 2, 0), " ")</f>
        <v xml:space="preserve">Capacity building related goods and services                                 </v>
      </c>
      <c r="D155" s="192" t="s">
        <v>296</v>
      </c>
      <c r="E155" s="296" t="s">
        <v>535</v>
      </c>
      <c r="F155" s="297"/>
      <c r="G155" s="297"/>
      <c r="H155" s="297"/>
      <c r="I155" s="297"/>
      <c r="J155" s="297"/>
      <c r="K155" s="193"/>
      <c r="L155" s="194">
        <v>5960.91041755265</v>
      </c>
      <c r="M155" s="194">
        <v>0</v>
      </c>
      <c r="N155" s="194">
        <v>5960.91041755265</v>
      </c>
      <c r="O155" s="194">
        <v>0</v>
      </c>
      <c r="P155" s="194">
        <v>0</v>
      </c>
      <c r="Q155" s="194">
        <v>0</v>
      </c>
      <c r="R155" s="194">
        <v>3908.0458604873243</v>
      </c>
      <c r="S155" s="194">
        <v>2052.8645570653262</v>
      </c>
    </row>
    <row r="156" spans="1:19" s="176" customFormat="1" ht="17.25" customHeight="1">
      <c r="A156" s="9"/>
      <c r="B156" s="172"/>
      <c r="C156" s="172"/>
      <c r="D156" s="172" t="s">
        <v>51</v>
      </c>
      <c r="E156" s="173" t="s">
        <v>536</v>
      </c>
      <c r="F156" s="173"/>
      <c r="G156" s="173"/>
      <c r="H156" s="173"/>
      <c r="I156" s="173"/>
      <c r="J156" s="27"/>
      <c r="K156" s="174"/>
      <c r="L156" s="175">
        <f t="shared" ref="L156:S156" si="65">SUM(L157,L158,L159,L160,L161,L162)</f>
        <v>46559.943629859903</v>
      </c>
      <c r="M156" s="175">
        <f t="shared" si="65"/>
        <v>0</v>
      </c>
      <c r="N156" s="175">
        <f t="shared" si="65"/>
        <v>0</v>
      </c>
      <c r="O156" s="175">
        <f t="shared" si="65"/>
        <v>46559.943629859903</v>
      </c>
      <c r="P156" s="175">
        <f t="shared" si="65"/>
        <v>0</v>
      </c>
      <c r="Q156" s="175">
        <f t="shared" si="65"/>
        <v>0</v>
      </c>
      <c r="R156" s="175">
        <f t="shared" si="65"/>
        <v>30843.890667474971</v>
      </c>
      <c r="S156" s="175">
        <f t="shared" si="65"/>
        <v>15716.052962384931</v>
      </c>
    </row>
    <row r="157" spans="1:19" s="13" customFormat="1" ht="39.6">
      <c r="A157" s="9"/>
      <c r="B157" s="40" t="s">
        <v>22</v>
      </c>
      <c r="C157" s="192" t="str">
        <f>+IFERROR(VLOOKUP($B157, 'Services to Beneficiaries'!$B$7:$C$17, 2, 0), " ")</f>
        <v xml:space="preserve">Planification, follow up and evaluation workshops related goods and services                                        </v>
      </c>
      <c r="D157" s="192" t="s">
        <v>299</v>
      </c>
      <c r="E157" s="296" t="s">
        <v>537</v>
      </c>
      <c r="F157" s="297"/>
      <c r="G157" s="297"/>
      <c r="H157" s="297"/>
      <c r="I157" s="297"/>
      <c r="J157" s="297"/>
      <c r="K157" s="193"/>
      <c r="L157" s="194">
        <v>625.99696987053767</v>
      </c>
      <c r="M157" s="194">
        <v>0</v>
      </c>
      <c r="N157" s="194">
        <v>0</v>
      </c>
      <c r="O157" s="194">
        <v>625.99696987053767</v>
      </c>
      <c r="P157" s="194">
        <v>0</v>
      </c>
      <c r="Q157" s="194">
        <v>0</v>
      </c>
      <c r="R157" s="194">
        <v>625.99696987053767</v>
      </c>
      <c r="S157" s="194">
        <v>0</v>
      </c>
    </row>
    <row r="158" spans="1:19" s="13" customFormat="1" ht="13.2">
      <c r="A158" s="9"/>
      <c r="B158" s="40" t="s">
        <v>14</v>
      </c>
      <c r="C158" s="192" t="str">
        <f>+IFERROR(VLOOKUP($B158, 'Services to Beneficiaries'!$B$7:$C$17, 2, 0), " ")</f>
        <v>Protection    </v>
      </c>
      <c r="D158" s="192" t="s">
        <v>301</v>
      </c>
      <c r="E158" s="296" t="s">
        <v>538</v>
      </c>
      <c r="F158" s="297"/>
      <c r="G158" s="297"/>
      <c r="H158" s="297"/>
      <c r="I158" s="297"/>
      <c r="J158" s="297"/>
      <c r="K158" s="193"/>
      <c r="L158" s="194">
        <v>24315.508793610064</v>
      </c>
      <c r="M158" s="194">
        <v>0</v>
      </c>
      <c r="N158" s="194">
        <v>0</v>
      </c>
      <c r="O158" s="194">
        <v>24315.508793610064</v>
      </c>
      <c r="P158" s="194">
        <v>0</v>
      </c>
      <c r="Q158" s="194">
        <v>0</v>
      </c>
      <c r="R158" s="194">
        <v>15774.344178202835</v>
      </c>
      <c r="S158" s="194">
        <v>8541.1646154072296</v>
      </c>
    </row>
    <row r="159" spans="1:19" s="13" customFormat="1" ht="13.2">
      <c r="A159" s="9"/>
      <c r="B159" s="40" t="s">
        <v>14</v>
      </c>
      <c r="C159" s="192" t="str">
        <f>+IFERROR(VLOOKUP($B159, 'Services to Beneficiaries'!$B$7:$C$17, 2, 0), " ")</f>
        <v>Protection    </v>
      </c>
      <c r="D159" s="192" t="s">
        <v>303</v>
      </c>
      <c r="E159" s="296" t="s">
        <v>539</v>
      </c>
      <c r="F159" s="297"/>
      <c r="G159" s="297"/>
      <c r="H159" s="297"/>
      <c r="I159" s="297"/>
      <c r="J159" s="297"/>
      <c r="K159" s="193"/>
      <c r="L159" s="194">
        <v>8540.9303176668491</v>
      </c>
      <c r="M159" s="194">
        <v>0</v>
      </c>
      <c r="N159" s="194">
        <v>0</v>
      </c>
      <c r="O159" s="194">
        <v>8540.9303176668491</v>
      </c>
      <c r="P159" s="194">
        <v>0</v>
      </c>
      <c r="Q159" s="194">
        <v>0</v>
      </c>
      <c r="R159" s="194">
        <v>4407.322795971113</v>
      </c>
      <c r="S159" s="194">
        <v>4133.607521695737</v>
      </c>
    </row>
    <row r="160" spans="1:19" s="13" customFormat="1" ht="27" customHeight="1">
      <c r="A160" s="9"/>
      <c r="B160" s="40" t="s">
        <v>24</v>
      </c>
      <c r="C160" s="192" t="str">
        <f>+IFERROR(VLOOKUP($B160, 'Services to Beneficiaries'!$B$7:$C$17, 2, 0), " ")</f>
        <v xml:space="preserve">Capacity building related goods and services                                 </v>
      </c>
      <c r="D160" s="192" t="s">
        <v>305</v>
      </c>
      <c r="E160" s="296" t="s">
        <v>540</v>
      </c>
      <c r="F160" s="297"/>
      <c r="G160" s="297"/>
      <c r="H160" s="297"/>
      <c r="I160" s="297"/>
      <c r="J160" s="297"/>
      <c r="K160" s="193"/>
      <c r="L160" s="194">
        <v>8008.7061732425063</v>
      </c>
      <c r="M160" s="194">
        <v>0</v>
      </c>
      <c r="N160" s="194">
        <v>0</v>
      </c>
      <c r="O160" s="194">
        <v>8008.7061732425063</v>
      </c>
      <c r="P160" s="194">
        <v>0</v>
      </c>
      <c r="Q160" s="194">
        <v>0</v>
      </c>
      <c r="R160" s="194">
        <v>7501.8260356955125</v>
      </c>
      <c r="S160" s="194">
        <v>506.88013754699409</v>
      </c>
    </row>
    <row r="161" spans="1:19" s="13" customFormat="1" ht="66">
      <c r="A161" s="9"/>
      <c r="B161" s="40" t="s">
        <v>20</v>
      </c>
      <c r="C161" s="192" t="str">
        <f>+IFERROR(VLOOKUP($B161,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61" s="192" t="s">
        <v>307</v>
      </c>
      <c r="E161" s="296" t="s">
        <v>541</v>
      </c>
      <c r="F161" s="297"/>
      <c r="G161" s="297"/>
      <c r="H161" s="297"/>
      <c r="I161" s="297"/>
      <c r="J161" s="297"/>
      <c r="K161" s="193"/>
      <c r="L161" s="194">
        <v>0</v>
      </c>
      <c r="M161" s="194">
        <v>0</v>
      </c>
      <c r="N161" s="194">
        <v>0</v>
      </c>
      <c r="O161" s="194">
        <v>0</v>
      </c>
      <c r="P161" s="194">
        <v>0</v>
      </c>
      <c r="Q161" s="194">
        <v>0</v>
      </c>
      <c r="R161" s="194">
        <v>0</v>
      </c>
      <c r="S161" s="194">
        <v>0</v>
      </c>
    </row>
    <row r="162" spans="1:19" s="13" customFormat="1" ht="52.8">
      <c r="A162" s="9"/>
      <c r="B162" s="40" t="s">
        <v>26</v>
      </c>
      <c r="C162" s="192" t="str">
        <f>+IFERROR(VLOOKUP($B162, 'Services to Beneficiaries'!$B$7:$C$17, 2, 0), " ")</f>
        <v xml:space="preserve">Mainstreaming (gender, HIV/AIDS, sustainable development,  etc.) related goods and services                       </v>
      </c>
      <c r="D162" s="192" t="s">
        <v>309</v>
      </c>
      <c r="E162" s="296" t="s">
        <v>542</v>
      </c>
      <c r="F162" s="297"/>
      <c r="G162" s="297"/>
      <c r="H162" s="297"/>
      <c r="I162" s="297"/>
      <c r="J162" s="297"/>
      <c r="K162" s="193"/>
      <c r="L162" s="194">
        <v>5068.8013754699414</v>
      </c>
      <c r="M162" s="194">
        <v>0</v>
      </c>
      <c r="N162" s="194">
        <v>0</v>
      </c>
      <c r="O162" s="194">
        <v>5068.8013754699414</v>
      </c>
      <c r="P162" s="194">
        <v>0</v>
      </c>
      <c r="Q162" s="194">
        <v>0</v>
      </c>
      <c r="R162" s="194">
        <v>2534.4006877349707</v>
      </c>
      <c r="S162" s="194">
        <v>2534.4006877349707</v>
      </c>
    </row>
    <row r="163" spans="1:19" s="176" customFormat="1" ht="13.2">
      <c r="A163" s="9"/>
      <c r="B163" s="172"/>
      <c r="C163" s="172"/>
      <c r="D163" s="172" t="s">
        <v>52</v>
      </c>
      <c r="E163" s="173" t="s">
        <v>543</v>
      </c>
      <c r="F163" s="173"/>
      <c r="G163" s="173"/>
      <c r="H163" s="173"/>
      <c r="I163" s="173"/>
      <c r="J163" s="27"/>
      <c r="K163" s="174"/>
      <c r="L163" s="175">
        <f t="shared" ref="L163:S163" si="66">SUM(L164,L165,L166,L167)</f>
        <v>19337.477247417824</v>
      </c>
      <c r="M163" s="175">
        <f t="shared" si="66"/>
        <v>0</v>
      </c>
      <c r="N163" s="175">
        <f t="shared" si="66"/>
        <v>0</v>
      </c>
      <c r="O163" s="175">
        <f t="shared" si="66"/>
        <v>0</v>
      </c>
      <c r="P163" s="175">
        <f t="shared" si="66"/>
        <v>19337.477247417824</v>
      </c>
      <c r="Q163" s="175">
        <f t="shared" si="66"/>
        <v>0</v>
      </c>
      <c r="R163" s="175">
        <f t="shared" si="66"/>
        <v>14172.368645813955</v>
      </c>
      <c r="S163" s="175">
        <f t="shared" si="66"/>
        <v>5165.1086016038698</v>
      </c>
    </row>
    <row r="164" spans="1:19" s="13" customFormat="1" ht="19.5" customHeight="1">
      <c r="A164" s="9"/>
      <c r="B164" s="40"/>
      <c r="C164" s="192" t="str">
        <f>+IFERROR(VLOOKUP($B164, 'Services to Beneficiaries'!$B$7:$C$17, 2, 0), " ")</f>
        <v xml:space="preserve"> </v>
      </c>
      <c r="D164" s="192" t="s">
        <v>312</v>
      </c>
      <c r="E164" s="296" t="s">
        <v>544</v>
      </c>
      <c r="F164" s="297"/>
      <c r="G164" s="297"/>
      <c r="H164" s="297"/>
      <c r="I164" s="297"/>
      <c r="J164" s="297"/>
      <c r="K164" s="193"/>
      <c r="L164" s="194">
        <v>6305.5889110846065</v>
      </c>
      <c r="M164" s="194">
        <v>0</v>
      </c>
      <c r="N164" s="194">
        <v>0</v>
      </c>
      <c r="O164" s="194">
        <v>0</v>
      </c>
      <c r="P164" s="194">
        <v>6305.5889110846065</v>
      </c>
      <c r="Q164" s="194">
        <v>0</v>
      </c>
      <c r="R164" s="194">
        <v>3953.6650728665541</v>
      </c>
      <c r="S164" s="194">
        <v>2351.9238382180524</v>
      </c>
    </row>
    <row r="165" spans="1:19" s="13" customFormat="1" ht="13.2">
      <c r="A165" s="9"/>
      <c r="B165" s="40"/>
      <c r="C165" s="192" t="str">
        <f>+IFERROR(VLOOKUP($B165, 'Services to Beneficiaries'!$B$7:$C$17, 2, 0), " ")</f>
        <v xml:space="preserve"> </v>
      </c>
      <c r="D165" s="192" t="s">
        <v>314</v>
      </c>
      <c r="E165" s="296" t="s">
        <v>545</v>
      </c>
      <c r="F165" s="297"/>
      <c r="G165" s="297"/>
      <c r="H165" s="297"/>
      <c r="I165" s="297"/>
      <c r="J165" s="297"/>
      <c r="K165" s="193"/>
      <c r="L165" s="194">
        <v>5124.5581906001098</v>
      </c>
      <c r="M165" s="194">
        <v>0</v>
      </c>
      <c r="N165" s="194">
        <v>0</v>
      </c>
      <c r="O165" s="194">
        <v>0</v>
      </c>
      <c r="P165" s="194">
        <v>5124.5581906001098</v>
      </c>
      <c r="Q165" s="194">
        <v>0</v>
      </c>
      <c r="R165" s="194">
        <v>5124.5581906001098</v>
      </c>
      <c r="S165" s="194">
        <v>0</v>
      </c>
    </row>
    <row r="166" spans="1:19" s="13" customFormat="1" ht="13.2">
      <c r="A166" s="9"/>
      <c r="B166" s="40"/>
      <c r="C166" s="192" t="str">
        <f>+IFERROR(VLOOKUP($B166, 'Services to Beneficiaries'!$B$7:$C$17, 2, 0), " ")</f>
        <v xml:space="preserve"> </v>
      </c>
      <c r="D166" s="192" t="s">
        <v>316</v>
      </c>
      <c r="E166" s="296" t="s">
        <v>546</v>
      </c>
      <c r="F166" s="297"/>
      <c r="G166" s="297"/>
      <c r="H166" s="297"/>
      <c r="I166" s="297"/>
      <c r="J166" s="297"/>
      <c r="K166" s="193"/>
      <c r="L166" s="194">
        <v>5119.48938922464</v>
      </c>
      <c r="M166" s="194">
        <v>0</v>
      </c>
      <c r="N166" s="194">
        <v>0</v>
      </c>
      <c r="O166" s="194">
        <v>0</v>
      </c>
      <c r="P166" s="194">
        <v>5119.48938922464</v>
      </c>
      <c r="Q166" s="194">
        <v>0</v>
      </c>
      <c r="R166" s="194">
        <v>3700.2250040930567</v>
      </c>
      <c r="S166" s="194">
        <v>1419.2643851315836</v>
      </c>
    </row>
    <row r="167" spans="1:19" s="13" customFormat="1" ht="52.8">
      <c r="A167" s="9"/>
      <c r="B167" s="40" t="s">
        <v>26</v>
      </c>
      <c r="C167" s="192" t="str">
        <f>+IFERROR(VLOOKUP($B167, 'Services to Beneficiaries'!$B$7:$C$17, 2, 0), " ")</f>
        <v xml:space="preserve">Mainstreaming (gender, HIV/AIDS, sustainable development,  etc.) related goods and services                       </v>
      </c>
      <c r="D167" s="192" t="s">
        <v>318</v>
      </c>
      <c r="E167" s="296" t="s">
        <v>547</v>
      </c>
      <c r="F167" s="297"/>
      <c r="G167" s="297"/>
      <c r="H167" s="297"/>
      <c r="I167" s="297"/>
      <c r="J167" s="297"/>
      <c r="K167" s="193"/>
      <c r="L167" s="194">
        <v>2787.8407565084676</v>
      </c>
      <c r="M167" s="194">
        <v>0</v>
      </c>
      <c r="N167" s="194">
        <v>0</v>
      </c>
      <c r="O167" s="194">
        <v>0</v>
      </c>
      <c r="P167" s="194">
        <v>2787.8407565084676</v>
      </c>
      <c r="Q167" s="194">
        <v>0</v>
      </c>
      <c r="R167" s="194">
        <v>1393.9203782542338</v>
      </c>
      <c r="S167" s="194">
        <v>1393.9203782542338</v>
      </c>
    </row>
    <row r="168" spans="1:19" s="176" customFormat="1" ht="13.2">
      <c r="A168" s="9"/>
      <c r="B168" s="172"/>
      <c r="C168" s="172"/>
      <c r="D168" s="172" t="s">
        <v>53</v>
      </c>
      <c r="E168" s="173" t="s">
        <v>548</v>
      </c>
      <c r="F168" s="173"/>
      <c r="G168" s="173"/>
      <c r="H168" s="173"/>
      <c r="I168" s="173"/>
      <c r="J168" s="27"/>
      <c r="K168" s="174"/>
      <c r="L168" s="175">
        <f t="shared" ref="L168:S168" si="67">SUM(L169,L170)</f>
        <v>60783.412557854026</v>
      </c>
      <c r="M168" s="175">
        <f t="shared" si="67"/>
        <v>0</v>
      </c>
      <c r="N168" s="175">
        <f t="shared" si="67"/>
        <v>0</v>
      </c>
      <c r="O168" s="175">
        <f t="shared" si="67"/>
        <v>0</v>
      </c>
      <c r="P168" s="175">
        <f t="shared" si="67"/>
        <v>0</v>
      </c>
      <c r="Q168" s="175">
        <f t="shared" si="67"/>
        <v>60783.412557854026</v>
      </c>
      <c r="R168" s="175">
        <f t="shared" si="67"/>
        <v>0</v>
      </c>
      <c r="S168" s="175">
        <f t="shared" si="67"/>
        <v>60783.412557854026</v>
      </c>
    </row>
    <row r="169" spans="1:19" s="13" customFormat="1" ht="13.2">
      <c r="A169" s="9"/>
      <c r="B169" s="40" t="s">
        <v>28</v>
      </c>
      <c r="C169" s="192" t="str">
        <f>+IFERROR(VLOOKUP($B169, 'Services to Beneficiaries'!$B$7:$C$17, 2, 0), " ")</f>
        <v>Crisis Modifier</v>
      </c>
      <c r="D169" s="192" t="s">
        <v>321</v>
      </c>
      <c r="E169" s="296" t="s">
        <v>549</v>
      </c>
      <c r="F169" s="297"/>
      <c r="G169" s="297"/>
      <c r="H169" s="297"/>
      <c r="I169" s="297"/>
      <c r="J169" s="297"/>
      <c r="K169" s="193"/>
      <c r="L169" s="194">
        <v>1520.6404126409823</v>
      </c>
      <c r="M169" s="194">
        <v>0</v>
      </c>
      <c r="N169" s="194">
        <v>0</v>
      </c>
      <c r="O169" s="194">
        <v>0</v>
      </c>
      <c r="P169" s="194">
        <v>0</v>
      </c>
      <c r="Q169" s="194">
        <v>1520.6404126409823</v>
      </c>
      <c r="R169" s="194">
        <v>0</v>
      </c>
      <c r="S169" s="194">
        <v>1520.6404126409823</v>
      </c>
    </row>
    <row r="170" spans="1:19" s="13" customFormat="1" ht="13.2">
      <c r="A170" s="9"/>
      <c r="B170" s="40" t="s">
        <v>28</v>
      </c>
      <c r="C170" s="192" t="str">
        <f>+IFERROR(VLOOKUP($B170, 'Services to Beneficiaries'!$B$7:$C$17, 2, 0), " ")</f>
        <v>Crisis Modifier</v>
      </c>
      <c r="D170" s="192" t="s">
        <v>323</v>
      </c>
      <c r="E170" s="296" t="s">
        <v>550</v>
      </c>
      <c r="F170" s="297"/>
      <c r="G170" s="297"/>
      <c r="H170" s="297"/>
      <c r="I170" s="297"/>
      <c r="J170" s="297"/>
      <c r="K170" s="193"/>
      <c r="L170" s="194">
        <v>59262.772145213043</v>
      </c>
      <c r="M170" s="194">
        <v>0</v>
      </c>
      <c r="N170" s="194">
        <v>0</v>
      </c>
      <c r="O170" s="194">
        <v>0</v>
      </c>
      <c r="P170" s="194">
        <v>0</v>
      </c>
      <c r="Q170" s="194">
        <v>59262.772145213043</v>
      </c>
      <c r="R170" s="194">
        <v>0</v>
      </c>
      <c r="S170" s="194">
        <v>59262.772145213043</v>
      </c>
    </row>
    <row r="171" spans="1:19" s="5" customFormat="1" ht="15.6">
      <c r="B171" s="58"/>
      <c r="C171" s="58"/>
      <c r="D171" s="58"/>
      <c r="E171" s="60" t="s">
        <v>325</v>
      </c>
      <c r="F171" s="59"/>
      <c r="G171" s="59"/>
      <c r="H171" s="59"/>
      <c r="I171" s="59"/>
      <c r="J171" s="61"/>
      <c r="K171" s="62"/>
      <c r="L171" s="158">
        <v>62428.91</v>
      </c>
      <c r="M171" s="64">
        <v>11786.535046458888</v>
      </c>
      <c r="N171" s="64">
        <v>26074.520012412184</v>
      </c>
      <c r="O171" s="64">
        <v>8453.6330909625594</v>
      </c>
      <c r="P171" s="64">
        <v>6956.3999520911748</v>
      </c>
      <c r="Q171" s="64">
        <v>9235.9225694219967</v>
      </c>
      <c r="R171" s="64">
        <v>29831.815209908495</v>
      </c>
      <c r="S171" s="64">
        <v>32675.19546143831</v>
      </c>
    </row>
    <row r="172" spans="1:19" s="169" customFormat="1" ht="15.6">
      <c r="B172" s="170"/>
      <c r="C172" s="170"/>
      <c r="D172" s="170"/>
      <c r="E172" s="171" t="s">
        <v>551</v>
      </c>
      <c r="F172" s="171"/>
      <c r="G172" s="171"/>
      <c r="H172" s="171"/>
      <c r="I172" s="171"/>
      <c r="J172" s="21"/>
      <c r="K172" s="22"/>
      <c r="L172" s="8">
        <f t="shared" ref="L172:S172" si="68">SUM(L137,L134,L76,L31,L22,L171)</f>
        <v>1197499.996123058</v>
      </c>
      <c r="M172" s="8">
        <f t="shared" si="68"/>
        <v>225803.14704807621</v>
      </c>
      <c r="N172" s="8">
        <f t="shared" si="68"/>
        <v>499873.11272926774</v>
      </c>
      <c r="O172" s="8">
        <f t="shared" si="68"/>
        <v>161871.92604397362</v>
      </c>
      <c r="P172" s="8">
        <f t="shared" si="68"/>
        <v>133152.22652266017</v>
      </c>
      <c r="Q172" s="8">
        <f t="shared" si="68"/>
        <v>176877.68445042719</v>
      </c>
      <c r="R172" s="8">
        <f t="shared" si="68"/>
        <v>572229.36560808262</v>
      </c>
      <c r="S172" s="8">
        <f t="shared" si="68"/>
        <v>625348.73118632229</v>
      </c>
    </row>
    <row r="173" spans="1:19" ht="13.2">
      <c r="L173" s="179"/>
      <c r="M173" s="179"/>
      <c r="N173" s="179"/>
      <c r="O173" s="179"/>
      <c r="P173" s="179"/>
      <c r="Q173" s="179"/>
      <c r="R173" s="179"/>
      <c r="S173" s="179"/>
    </row>
    <row r="174" spans="1:19" ht="13.2">
      <c r="L174" s="179"/>
      <c r="M174" s="179"/>
      <c r="N174" s="179"/>
      <c r="O174" s="179"/>
      <c r="P174" s="179"/>
      <c r="Q174" s="179"/>
      <c r="R174" s="179"/>
      <c r="S174" s="179"/>
    </row>
    <row r="175" spans="1:19" ht="13.2">
      <c r="L175" s="179"/>
      <c r="M175" s="179"/>
      <c r="N175" s="179"/>
      <c r="O175" s="179"/>
      <c r="P175" s="179"/>
      <c r="Q175" s="179"/>
      <c r="R175" s="179"/>
      <c r="S175" s="179"/>
    </row>
    <row r="176" spans="1:19" ht="13.2">
      <c r="L176" s="179"/>
      <c r="M176" s="179"/>
      <c r="N176" s="179"/>
      <c r="O176" s="179"/>
      <c r="P176" s="179"/>
      <c r="Q176" s="179"/>
      <c r="R176" s="179"/>
      <c r="S176" s="179"/>
    </row>
    <row r="177" spans="12:19" ht="13.2">
      <c r="L177" s="179"/>
      <c r="M177" s="179"/>
      <c r="N177" s="179"/>
      <c r="O177" s="179"/>
      <c r="P177" s="179"/>
      <c r="Q177" s="179"/>
      <c r="R177" s="179"/>
      <c r="S177" s="179"/>
    </row>
    <row r="178" spans="12:19" ht="13.2">
      <c r="L178" s="179"/>
      <c r="M178" s="179"/>
      <c r="N178" s="179"/>
      <c r="O178" s="179"/>
      <c r="P178" s="179"/>
      <c r="Q178" s="179"/>
      <c r="R178" s="179"/>
      <c r="S178" s="179"/>
    </row>
    <row r="179" spans="12:19" ht="13.2">
      <c r="L179" s="179"/>
      <c r="M179" s="179"/>
      <c r="N179" s="179"/>
      <c r="O179" s="179"/>
      <c r="P179" s="179"/>
      <c r="Q179" s="179"/>
      <c r="R179" s="179"/>
      <c r="S179" s="179"/>
    </row>
    <row r="180" spans="12:19" ht="13.2">
      <c r="L180" s="179"/>
      <c r="M180" s="179"/>
      <c r="N180" s="179"/>
      <c r="O180" s="179"/>
      <c r="P180" s="179"/>
      <c r="Q180" s="179"/>
      <c r="R180" s="179"/>
      <c r="S180" s="179"/>
    </row>
    <row r="181" spans="12:19" ht="13.2">
      <c r="L181" s="179"/>
      <c r="M181" s="179"/>
      <c r="N181" s="179"/>
      <c r="O181" s="179"/>
      <c r="P181" s="179"/>
      <c r="Q181" s="179"/>
      <c r="R181" s="179"/>
      <c r="S181" s="179"/>
    </row>
    <row r="182" spans="12:19" ht="13.2">
      <c r="L182" s="179"/>
      <c r="M182" s="179"/>
      <c r="N182" s="179"/>
      <c r="O182" s="179"/>
      <c r="P182" s="179"/>
      <c r="Q182" s="179"/>
      <c r="R182" s="179"/>
      <c r="S182" s="179"/>
    </row>
    <row r="183" spans="12:19" ht="13.2">
      <c r="L183" s="179"/>
      <c r="M183" s="179"/>
      <c r="N183" s="179"/>
      <c r="O183" s="179"/>
      <c r="P183" s="179"/>
      <c r="Q183" s="179"/>
      <c r="R183" s="179"/>
      <c r="S183" s="179"/>
    </row>
    <row r="184" spans="12:19" ht="13.2">
      <c r="L184" s="179"/>
      <c r="M184" s="179"/>
      <c r="N184" s="179"/>
      <c r="O184" s="179"/>
      <c r="P184" s="179"/>
      <c r="Q184" s="179"/>
      <c r="R184" s="179"/>
      <c r="S184" s="179"/>
    </row>
    <row r="185" spans="12:19" ht="13.2">
      <c r="L185" s="179"/>
      <c r="M185" s="179"/>
      <c r="N185" s="179"/>
      <c r="O185" s="179"/>
      <c r="P185" s="179"/>
      <c r="Q185" s="179"/>
      <c r="R185" s="179"/>
      <c r="S185" s="179"/>
    </row>
    <row r="186" spans="12:19" ht="13.2">
      <c r="L186" s="179"/>
      <c r="M186" s="179"/>
      <c r="N186" s="179"/>
      <c r="O186" s="179"/>
      <c r="P186" s="179"/>
      <c r="Q186" s="179"/>
      <c r="R186" s="179"/>
      <c r="S186" s="179"/>
    </row>
    <row r="187" spans="12:19" ht="13.2">
      <c r="L187" s="179"/>
      <c r="M187" s="179"/>
      <c r="N187" s="179"/>
      <c r="O187" s="179"/>
      <c r="P187" s="179"/>
      <c r="Q187" s="179"/>
      <c r="R187" s="179"/>
      <c r="S187" s="179"/>
    </row>
    <row r="188" spans="12:19" ht="13.2">
      <c r="L188" s="179"/>
      <c r="M188" s="179"/>
      <c r="N188" s="179"/>
      <c r="O188" s="179"/>
      <c r="P188" s="179"/>
      <c r="Q188" s="179"/>
      <c r="R188" s="179"/>
      <c r="S188" s="179"/>
    </row>
    <row r="189" spans="12:19" ht="13.2">
      <c r="L189" s="179"/>
      <c r="M189" s="179"/>
      <c r="N189" s="179"/>
      <c r="O189" s="179"/>
      <c r="P189" s="179"/>
      <c r="Q189" s="179"/>
      <c r="R189" s="179"/>
      <c r="S189" s="179"/>
    </row>
    <row r="190" spans="12:19" ht="13.2">
      <c r="L190" s="179"/>
      <c r="M190" s="179"/>
      <c r="N190" s="179"/>
      <c r="O190" s="179"/>
      <c r="P190" s="179"/>
      <c r="Q190" s="179"/>
      <c r="R190" s="179"/>
      <c r="S190" s="179"/>
    </row>
    <row r="191" spans="12:19" ht="13.2" hidden="1">
      <c r="L191" s="179"/>
      <c r="M191" s="179"/>
      <c r="N191" s="179"/>
      <c r="O191" s="179"/>
      <c r="P191" s="179"/>
      <c r="Q191" s="179"/>
      <c r="R191" s="179"/>
      <c r="S191" s="179"/>
    </row>
    <row r="192" spans="12:19" ht="13.2" hidden="1">
      <c r="L192" s="179"/>
      <c r="M192" s="179"/>
      <c r="N192" s="179"/>
      <c r="O192" s="179"/>
      <c r="P192" s="179"/>
      <c r="Q192" s="179"/>
      <c r="R192" s="179"/>
      <c r="S192" s="179"/>
    </row>
    <row r="193" spans="12:19" ht="13.2" hidden="1">
      <c r="L193" s="179"/>
      <c r="M193" s="179"/>
      <c r="N193" s="179"/>
      <c r="O193" s="179"/>
      <c r="P193" s="179"/>
      <c r="Q193" s="179"/>
      <c r="R193" s="179"/>
      <c r="S193" s="179"/>
    </row>
    <row r="194" spans="12:19" ht="13.2">
      <c r="L194" s="179"/>
      <c r="M194" s="179"/>
      <c r="N194" s="179"/>
      <c r="O194" s="179"/>
      <c r="P194" s="179"/>
      <c r="Q194" s="179"/>
      <c r="R194" s="179"/>
      <c r="S194" s="179"/>
    </row>
    <row r="195" spans="12:19" ht="13.2">
      <c r="L195" s="179"/>
      <c r="M195" s="179"/>
      <c r="N195" s="179"/>
      <c r="O195" s="179"/>
      <c r="P195" s="179"/>
      <c r="Q195" s="179"/>
      <c r="R195" s="179"/>
      <c r="S195" s="179"/>
    </row>
    <row r="196" spans="12:19" ht="13.2">
      <c r="L196" s="179"/>
      <c r="M196" s="179"/>
      <c r="N196" s="179"/>
      <c r="O196" s="179"/>
      <c r="P196" s="179"/>
      <c r="Q196" s="179"/>
      <c r="R196" s="179"/>
      <c r="S196" s="179"/>
    </row>
    <row r="197" spans="12:19" ht="13.2">
      <c r="L197" s="179"/>
      <c r="M197" s="179"/>
      <c r="N197" s="179"/>
      <c r="O197" s="179"/>
      <c r="P197" s="179"/>
      <c r="Q197" s="179"/>
      <c r="R197" s="179"/>
      <c r="S197" s="179"/>
    </row>
    <row r="198" spans="12:19" ht="13.2">
      <c r="L198" s="179"/>
      <c r="M198" s="179"/>
      <c r="N198" s="179"/>
      <c r="O198" s="179"/>
      <c r="P198" s="179"/>
      <c r="Q198" s="179"/>
      <c r="R198" s="179"/>
      <c r="S198" s="179"/>
    </row>
    <row r="199" spans="12:19" ht="13.2">
      <c r="L199" s="179"/>
      <c r="M199" s="179"/>
      <c r="N199" s="179"/>
      <c r="O199" s="179"/>
      <c r="P199" s="179"/>
      <c r="Q199" s="179"/>
      <c r="R199" s="179"/>
      <c r="S199" s="179"/>
    </row>
    <row r="200" spans="12:19" ht="13.2">
      <c r="L200" s="179"/>
      <c r="M200" s="179"/>
      <c r="N200" s="179"/>
      <c r="O200" s="179"/>
      <c r="P200" s="179"/>
      <c r="Q200" s="179"/>
      <c r="R200" s="179"/>
      <c r="S200" s="179"/>
    </row>
    <row r="201" spans="12:19" ht="13.2">
      <c r="L201" s="179"/>
      <c r="M201" s="179"/>
      <c r="N201" s="179"/>
      <c r="O201" s="179"/>
      <c r="P201" s="179"/>
      <c r="Q201" s="179"/>
      <c r="R201" s="179"/>
      <c r="S201" s="179"/>
    </row>
    <row r="202" spans="12:19" ht="13.2">
      <c r="L202" s="179"/>
      <c r="M202" s="179"/>
      <c r="N202" s="179"/>
      <c r="O202" s="179"/>
      <c r="P202" s="179"/>
      <c r="Q202" s="179"/>
      <c r="R202" s="179"/>
      <c r="S202" s="179"/>
    </row>
    <row r="203" spans="12:19" ht="13.2">
      <c r="L203" s="179"/>
      <c r="M203" s="179"/>
      <c r="N203" s="179"/>
      <c r="O203" s="179"/>
      <c r="P203" s="179"/>
      <c r="Q203" s="179"/>
      <c r="R203" s="179"/>
      <c r="S203" s="179"/>
    </row>
    <row r="204" spans="12:19" ht="13.2">
      <c r="L204" s="179"/>
      <c r="M204" s="179"/>
      <c r="N204" s="179"/>
      <c r="O204" s="179"/>
      <c r="P204" s="179"/>
      <c r="Q204" s="179"/>
      <c r="R204" s="179"/>
      <c r="S204" s="179"/>
    </row>
    <row r="205" spans="12:19" ht="13.2">
      <c r="L205" s="179"/>
      <c r="M205" s="179"/>
      <c r="N205" s="179"/>
      <c r="O205" s="179"/>
      <c r="P205" s="179"/>
      <c r="Q205" s="179"/>
      <c r="R205" s="179"/>
      <c r="S205" s="179"/>
    </row>
    <row r="206" spans="12:19" ht="13.2">
      <c r="L206" s="179"/>
      <c r="M206" s="179"/>
      <c r="N206" s="179"/>
      <c r="O206" s="179"/>
      <c r="P206" s="179"/>
      <c r="Q206" s="179"/>
      <c r="R206" s="179"/>
      <c r="S206" s="179"/>
    </row>
    <row r="207" spans="12:19" ht="13.2">
      <c r="L207" s="179"/>
      <c r="M207" s="179"/>
      <c r="N207" s="179"/>
      <c r="O207" s="179"/>
      <c r="P207" s="179"/>
      <c r="Q207" s="179"/>
      <c r="R207" s="179"/>
      <c r="S207" s="179"/>
    </row>
    <row r="208" spans="12:19" ht="13.2">
      <c r="L208" s="179"/>
      <c r="M208" s="179"/>
      <c r="N208" s="179"/>
      <c r="O208" s="179"/>
      <c r="P208" s="179"/>
      <c r="Q208" s="179"/>
      <c r="R208" s="179"/>
      <c r="S208" s="179"/>
    </row>
    <row r="209" spans="12:19" ht="13.2">
      <c r="L209" s="179"/>
      <c r="M209" s="179"/>
      <c r="N209" s="179"/>
      <c r="O209" s="179"/>
      <c r="P209" s="179"/>
      <c r="Q209" s="179"/>
      <c r="R209" s="179"/>
      <c r="S209" s="179"/>
    </row>
    <row r="210" spans="12:19" ht="13.2">
      <c r="L210" s="179"/>
      <c r="M210" s="179"/>
      <c r="N210" s="179"/>
      <c r="O210" s="179"/>
      <c r="P210" s="179"/>
      <c r="Q210" s="179"/>
      <c r="R210" s="179"/>
      <c r="S210" s="179"/>
    </row>
    <row r="211" spans="12:19" ht="13.2">
      <c r="L211" s="179"/>
      <c r="M211" s="179"/>
      <c r="N211" s="179"/>
      <c r="O211" s="179"/>
      <c r="P211" s="179"/>
      <c r="Q211" s="179"/>
      <c r="R211" s="179"/>
      <c r="S211" s="179"/>
    </row>
    <row r="212" spans="12:19" ht="13.2">
      <c r="L212" s="179"/>
      <c r="M212" s="179"/>
      <c r="N212" s="179"/>
      <c r="O212" s="179"/>
      <c r="P212" s="179"/>
      <c r="Q212" s="179"/>
      <c r="R212" s="179"/>
      <c r="S212" s="179"/>
    </row>
    <row r="213" spans="12:19" ht="13.2">
      <c r="L213" s="179"/>
      <c r="M213" s="179"/>
      <c r="N213" s="179"/>
      <c r="O213" s="179"/>
      <c r="P213" s="179"/>
      <c r="Q213" s="179"/>
      <c r="R213" s="179"/>
      <c r="S213" s="179"/>
    </row>
    <row r="214" spans="12:19" ht="13.2">
      <c r="L214" s="179"/>
      <c r="M214" s="179"/>
      <c r="N214" s="179"/>
      <c r="O214" s="179"/>
      <c r="P214" s="179"/>
      <c r="Q214" s="179"/>
      <c r="R214" s="179"/>
      <c r="S214" s="179"/>
    </row>
    <row r="215" spans="12:19" ht="13.2">
      <c r="L215" s="179"/>
      <c r="M215" s="179"/>
      <c r="N215" s="179"/>
      <c r="O215" s="179"/>
      <c r="P215" s="179"/>
      <c r="Q215" s="179"/>
      <c r="R215" s="179"/>
      <c r="S215" s="179"/>
    </row>
    <row r="216" spans="12:19" ht="13.2">
      <c r="L216" s="179"/>
      <c r="M216" s="179"/>
      <c r="N216" s="179"/>
      <c r="O216" s="179"/>
      <c r="P216" s="179"/>
      <c r="Q216" s="179"/>
      <c r="R216" s="179"/>
      <c r="S216" s="179"/>
    </row>
    <row r="217" spans="12:19" ht="13.2">
      <c r="L217" s="179"/>
      <c r="M217" s="179"/>
      <c r="N217" s="179"/>
      <c r="O217" s="179"/>
      <c r="P217" s="179"/>
      <c r="Q217" s="179"/>
      <c r="R217" s="179"/>
      <c r="S217" s="179"/>
    </row>
    <row r="218" spans="12:19" ht="13.2">
      <c r="L218" s="179"/>
      <c r="M218" s="179"/>
      <c r="N218" s="179"/>
      <c r="O218" s="179"/>
      <c r="P218" s="179"/>
      <c r="Q218" s="179"/>
      <c r="R218" s="179"/>
      <c r="S218" s="179"/>
    </row>
    <row r="219" spans="12:19" ht="13.2">
      <c r="L219" s="179"/>
      <c r="M219" s="179"/>
      <c r="N219" s="179"/>
      <c r="O219" s="179"/>
      <c r="P219" s="179"/>
      <c r="Q219" s="179"/>
      <c r="R219" s="179"/>
      <c r="S219" s="179"/>
    </row>
    <row r="220" spans="12:19" ht="13.2">
      <c r="L220" s="179"/>
      <c r="M220" s="179"/>
      <c r="N220" s="179"/>
      <c r="O220" s="179"/>
      <c r="P220" s="179"/>
      <c r="Q220" s="179"/>
      <c r="R220" s="179"/>
      <c r="S220" s="179"/>
    </row>
    <row r="221" spans="12:19" ht="13.2">
      <c r="L221" s="179"/>
      <c r="M221" s="179"/>
      <c r="N221" s="179"/>
      <c r="O221" s="179"/>
      <c r="P221" s="179"/>
      <c r="Q221" s="179"/>
      <c r="R221" s="179"/>
      <c r="S221" s="179"/>
    </row>
    <row r="222" spans="12:19" ht="13.2">
      <c r="L222" s="179"/>
      <c r="M222" s="179"/>
      <c r="N222" s="179"/>
      <c r="O222" s="179"/>
      <c r="P222" s="179"/>
      <c r="Q222" s="179"/>
      <c r="R222" s="179"/>
      <c r="S222" s="179"/>
    </row>
    <row r="223" spans="12:19" ht="13.2">
      <c r="L223" s="179"/>
      <c r="M223" s="179"/>
      <c r="N223" s="179"/>
      <c r="O223" s="179"/>
      <c r="P223" s="179"/>
      <c r="Q223" s="179"/>
      <c r="R223" s="179"/>
      <c r="S223" s="179"/>
    </row>
    <row r="224" spans="12:19" ht="13.2">
      <c r="L224" s="179"/>
      <c r="M224" s="179"/>
      <c r="N224" s="179"/>
      <c r="O224" s="179"/>
      <c r="P224" s="179"/>
      <c r="Q224" s="179"/>
      <c r="R224" s="179"/>
      <c r="S224" s="179"/>
    </row>
    <row r="225" spans="12:19" ht="13.2">
      <c r="L225" s="179"/>
      <c r="M225" s="179"/>
      <c r="N225" s="179"/>
      <c r="O225" s="179"/>
      <c r="P225" s="179"/>
      <c r="Q225" s="179"/>
      <c r="R225" s="179"/>
      <c r="S225" s="179"/>
    </row>
    <row r="226" spans="12:19" ht="13.2">
      <c r="L226" s="179"/>
      <c r="M226" s="179"/>
      <c r="N226" s="179"/>
      <c r="O226" s="179"/>
      <c r="P226" s="179"/>
      <c r="Q226" s="179"/>
      <c r="R226" s="179"/>
      <c r="S226" s="179"/>
    </row>
    <row r="227" spans="12:19" ht="13.2">
      <c r="L227" s="179"/>
      <c r="M227" s="179"/>
      <c r="N227" s="179"/>
      <c r="O227" s="179"/>
      <c r="P227" s="179"/>
      <c r="Q227" s="179"/>
      <c r="R227" s="179"/>
      <c r="S227" s="179"/>
    </row>
    <row r="228" spans="12:19" ht="13.2">
      <c r="L228" s="179"/>
      <c r="M228" s="179"/>
      <c r="N228" s="179"/>
      <c r="O228" s="179"/>
      <c r="P228" s="179"/>
      <c r="Q228" s="179"/>
      <c r="R228" s="179"/>
      <c r="S228" s="179"/>
    </row>
    <row r="229" spans="12:19" ht="13.2">
      <c r="L229" s="179"/>
      <c r="M229" s="179"/>
      <c r="N229" s="179"/>
      <c r="O229" s="179"/>
      <c r="P229" s="179"/>
      <c r="Q229" s="179"/>
      <c r="R229" s="179"/>
      <c r="S229" s="179"/>
    </row>
    <row r="230" spans="12:19" ht="13.2">
      <c r="L230" s="179"/>
      <c r="M230" s="179"/>
      <c r="N230" s="179"/>
      <c r="O230" s="179"/>
      <c r="P230" s="179"/>
      <c r="Q230" s="179"/>
      <c r="R230" s="179"/>
      <c r="S230" s="179"/>
    </row>
    <row r="231" spans="12:19" ht="13.2">
      <c r="L231" s="179"/>
      <c r="M231" s="179"/>
      <c r="N231" s="179"/>
      <c r="O231" s="179"/>
      <c r="P231" s="179"/>
      <c r="Q231" s="179"/>
      <c r="R231" s="179"/>
      <c r="S231" s="179"/>
    </row>
    <row r="232" spans="12:19" ht="13.2"/>
    <row r="233" spans="12:19" ht="13.2"/>
    <row r="234" spans="12:19" ht="13.2"/>
    <row r="235" spans="12:19" ht="13.2"/>
    <row r="236" spans="12:19" ht="13.2"/>
    <row r="237" spans="12:19" ht="13.2"/>
    <row r="238" spans="12:19" ht="13.2"/>
    <row r="239" spans="12:19" ht="13.2"/>
    <row r="240" spans="12:19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</sheetData>
  <mergeCells count="39">
    <mergeCell ref="B20:B21"/>
    <mergeCell ref="E169:J169"/>
    <mergeCell ref="E170:J170"/>
    <mergeCell ref="E166:J166"/>
    <mergeCell ref="E162:J162"/>
    <mergeCell ref="E164:J164"/>
    <mergeCell ref="E165:J165"/>
    <mergeCell ref="E167:J167"/>
    <mergeCell ref="E157:J157"/>
    <mergeCell ref="E158:J158"/>
    <mergeCell ref="E159:J159"/>
    <mergeCell ref="E160:J160"/>
    <mergeCell ref="E161:J161"/>
    <mergeCell ref="E150:J150"/>
    <mergeCell ref="E152:J152"/>
    <mergeCell ref="E153:J153"/>
    <mergeCell ref="E154:J154"/>
    <mergeCell ref="E155:J155"/>
    <mergeCell ref="E149:J149"/>
    <mergeCell ref="R20:R21"/>
    <mergeCell ref="S20:S21"/>
    <mergeCell ref="E146:J146"/>
    <mergeCell ref="L20:L21"/>
    <mergeCell ref="M20:M21"/>
    <mergeCell ref="N20:N21"/>
    <mergeCell ref="O20:O21"/>
    <mergeCell ref="P20:P21"/>
    <mergeCell ref="Q20:Q21"/>
    <mergeCell ref="E147:J147"/>
    <mergeCell ref="E148:J148"/>
    <mergeCell ref="G14:K14"/>
    <mergeCell ref="D20:D21"/>
    <mergeCell ref="E20:E21"/>
    <mergeCell ref="F20:F21"/>
    <mergeCell ref="G20:G21"/>
    <mergeCell ref="H20:H21"/>
    <mergeCell ref="I20:I21"/>
    <mergeCell ref="J20:J21"/>
    <mergeCell ref="K20:K2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0F6A94-10F6-4C7E-A344-D9BCE6F3DCFD}">
          <x14:formula1>
            <xm:f>'Services to Beneficiaries'!$B$7:$B$17</xm:f>
          </x14:formula1>
          <xm:sqref>B24 B26 B28 B30 B34:B40 B42:B61 B64 B66 B69:B71 B73:B75 B79:B81 B83:B86 B90:B91 B93 B96:B97 B99:B102 B104 B107:B115 B117:B118 B120:B133 B135:B136 B139:B144 B164:B167 B157:B162 B152:B155 B146:B150 B169:B170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4DFB-0979-494B-848F-0EF42934425E}">
  <dimension ref="A1:T193"/>
  <sheetViews>
    <sheetView topLeftCell="A109" workbookViewId="0">
      <selection activeCell="A115" sqref="A115:A118"/>
    </sheetView>
  </sheetViews>
  <sheetFormatPr defaultColWidth="24.88671875" defaultRowHeight="12.75" customHeight="1" outlineLevelRow="1"/>
  <cols>
    <col min="1" max="1" width="3.6640625" style="14" customWidth="1"/>
    <col min="2" max="2" width="8.44140625" style="14" customWidth="1"/>
    <col min="3" max="3" width="28.6640625" style="232" customWidth="1"/>
    <col min="4" max="4" width="8.44140625" style="14" customWidth="1"/>
    <col min="5" max="5" width="45.88671875" style="14" customWidth="1"/>
    <col min="6" max="9" width="8.44140625" style="14" customWidth="1"/>
    <col min="10" max="11" width="24.88671875" style="15"/>
    <col min="12" max="17" width="24.88671875" style="15" customWidth="1"/>
    <col min="18" max="16384" width="24.88671875" style="15"/>
  </cols>
  <sheetData>
    <row r="1" spans="1:19" s="14" customFormat="1" ht="13.2">
      <c r="C1" s="232"/>
      <c r="E1" s="17"/>
    </row>
    <row r="2" spans="1:19" s="14" customFormat="1" ht="13.2" outlineLevel="1">
      <c r="C2" s="232"/>
      <c r="E2" s="17"/>
    </row>
    <row r="3" spans="1:19" s="14" customFormat="1" ht="14.4" outlineLevel="1">
      <c r="C3" s="232"/>
      <c r="E3"/>
    </row>
    <row r="4" spans="1:19" s="14" customFormat="1" ht="13.2" outlineLevel="1">
      <c r="C4" s="232"/>
      <c r="E4" s="17"/>
    </row>
    <row r="5" spans="1:19" s="14" customFormat="1" ht="14.4" outlineLevel="1">
      <c r="C5" s="232"/>
      <c r="E5"/>
    </row>
    <row r="6" spans="1:19" s="14" customFormat="1" ht="13.2" outlineLevel="1">
      <c r="C6" s="232"/>
      <c r="E6" s="17"/>
    </row>
    <row r="7" spans="1:19" s="14" customFormat="1" ht="13.2" outlineLevel="1">
      <c r="C7" s="232"/>
      <c r="E7" s="17"/>
    </row>
    <row r="8" spans="1:19" s="14" customFormat="1" ht="13.2" outlineLevel="1">
      <c r="C8" s="232"/>
      <c r="E8" s="17"/>
    </row>
    <row r="9" spans="1:19" s="14" customFormat="1" ht="13.2" outlineLevel="1">
      <c r="C9" s="232"/>
      <c r="E9" s="17"/>
    </row>
    <row r="10" spans="1:19" s="14" customFormat="1" ht="13.2" outlineLevel="1">
      <c r="C10" s="232"/>
      <c r="E10" s="17"/>
    </row>
    <row r="11" spans="1:19" s="14" customFormat="1" ht="13.2" outlineLevel="1">
      <c r="C11" s="232"/>
      <c r="E11" s="17"/>
    </row>
    <row r="12" spans="1:19" s="2" customFormat="1" ht="17.399999999999999">
      <c r="A12" s="1"/>
      <c r="B12" s="68"/>
      <c r="C12" s="233"/>
      <c r="D12" s="68"/>
      <c r="E12" s="203" t="s">
        <v>35</v>
      </c>
      <c r="F12" s="69"/>
      <c r="G12" s="70"/>
      <c r="H12" s="70"/>
      <c r="I12" s="70"/>
      <c r="J12" s="110"/>
      <c r="K12" s="70"/>
      <c r="L12" s="135"/>
      <c r="M12" s="136"/>
      <c r="N12" s="136"/>
      <c r="O12" s="136"/>
      <c r="P12" s="136"/>
      <c r="Q12" s="136"/>
      <c r="R12" s="136"/>
      <c r="S12" s="136"/>
    </row>
    <row r="13" spans="1:19" s="2" customFormat="1" ht="17.399999999999999">
      <c r="A13" s="1"/>
      <c r="B13" s="68"/>
      <c r="C13" s="233"/>
      <c r="D13" s="68"/>
      <c r="E13" s="203" t="s">
        <v>552</v>
      </c>
      <c r="F13" s="69"/>
      <c r="G13" s="70"/>
      <c r="H13" s="70"/>
      <c r="I13" s="70"/>
      <c r="J13" s="110"/>
      <c r="K13" s="70"/>
      <c r="L13" s="135"/>
      <c r="M13" s="136"/>
      <c r="N13" s="136"/>
      <c r="O13" s="136"/>
      <c r="P13" s="136"/>
      <c r="Q13" s="136"/>
      <c r="R13" s="136"/>
      <c r="S13" s="136"/>
    </row>
    <row r="14" spans="1:19" s="2" customFormat="1" ht="17.399999999999999">
      <c r="A14" s="1"/>
      <c r="C14" s="234"/>
      <c r="E14" s="202" t="s">
        <v>37</v>
      </c>
      <c r="F14" s="69"/>
      <c r="G14" s="262"/>
      <c r="H14" s="262"/>
      <c r="I14" s="262"/>
      <c r="J14" s="262"/>
      <c r="K14" s="262"/>
      <c r="L14" s="137"/>
      <c r="M14" s="138"/>
      <c r="N14" s="138"/>
      <c r="O14" s="138"/>
      <c r="P14" s="138"/>
      <c r="Q14" s="138"/>
      <c r="R14" s="138"/>
      <c r="S14" s="138"/>
    </row>
    <row r="15" spans="1:19" s="2" customFormat="1" ht="17.399999999999999">
      <c r="A15" s="1"/>
      <c r="B15" s="68"/>
      <c r="C15" s="233"/>
      <c r="D15" s="68"/>
      <c r="E15" s="203" t="s">
        <v>38</v>
      </c>
      <c r="F15" s="69"/>
      <c r="G15" s="70"/>
      <c r="H15" s="70"/>
      <c r="I15" s="70"/>
      <c r="J15" s="110"/>
      <c r="K15" s="70"/>
      <c r="L15" s="139"/>
      <c r="M15" s="140"/>
      <c r="N15" s="140"/>
      <c r="O15" s="140"/>
      <c r="P15" s="140"/>
      <c r="Q15" s="140"/>
      <c r="R15" s="140"/>
      <c r="S15" s="140"/>
    </row>
    <row r="16" spans="1:19" s="2" customFormat="1" ht="17.399999999999999">
      <c r="A16" s="1"/>
      <c r="B16" s="68"/>
      <c r="C16" s="233"/>
      <c r="D16" s="68"/>
      <c r="E16" s="203" t="s">
        <v>39</v>
      </c>
      <c r="F16" s="69"/>
      <c r="G16" s="70"/>
      <c r="H16" s="70"/>
      <c r="I16" s="70"/>
      <c r="J16" s="110"/>
      <c r="K16" s="96"/>
      <c r="L16" s="135"/>
      <c r="M16" s="141"/>
      <c r="N16" s="142"/>
      <c r="O16" s="142"/>
      <c r="P16" s="142"/>
      <c r="Q16" s="142"/>
      <c r="R16" s="142"/>
      <c r="S16" s="142"/>
    </row>
    <row r="17" spans="1:19" s="2" customFormat="1" ht="17.399999999999999">
      <c r="A17" s="1"/>
      <c r="B17" s="68"/>
      <c r="C17" s="233"/>
      <c r="D17" s="68"/>
      <c r="E17" s="203" t="s">
        <v>40</v>
      </c>
      <c r="F17" s="69"/>
      <c r="G17" s="70"/>
      <c r="H17" s="70"/>
      <c r="I17" s="70"/>
      <c r="J17" s="110"/>
      <c r="K17" s="96"/>
      <c r="L17" s="135"/>
      <c r="M17" s="142"/>
      <c r="N17" s="142"/>
      <c r="O17" s="142"/>
      <c r="P17" s="142"/>
      <c r="Q17" s="142"/>
      <c r="R17" s="142"/>
      <c r="S17" s="142"/>
    </row>
    <row r="18" spans="1:19" s="5" customFormat="1" ht="30.75" customHeight="1" thickBot="1">
      <c r="B18" s="10"/>
      <c r="C18" s="23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s="10" customFormat="1" ht="15" customHeight="1">
      <c r="A19" s="9"/>
      <c r="B19" s="263"/>
      <c r="C19" s="236"/>
      <c r="D19" s="263" t="s">
        <v>41</v>
      </c>
      <c r="E19" s="260" t="s">
        <v>1</v>
      </c>
      <c r="F19" s="261" t="s">
        <v>42</v>
      </c>
      <c r="G19" s="260" t="s">
        <v>43</v>
      </c>
      <c r="H19" s="260" t="s">
        <v>44</v>
      </c>
      <c r="I19" s="268" t="s">
        <v>45</v>
      </c>
      <c r="J19" s="294" t="s">
        <v>46</v>
      </c>
      <c r="K19" s="308" t="s">
        <v>47</v>
      </c>
      <c r="L19" s="306" t="s">
        <v>48</v>
      </c>
      <c r="M19" s="302" t="s">
        <v>49</v>
      </c>
      <c r="N19" s="302" t="s">
        <v>50</v>
      </c>
      <c r="O19" s="302" t="s">
        <v>51</v>
      </c>
      <c r="P19" s="302" t="s">
        <v>52</v>
      </c>
      <c r="Q19" s="302" t="s">
        <v>53</v>
      </c>
      <c r="R19" s="302" t="s">
        <v>54</v>
      </c>
      <c r="S19" s="302" t="s">
        <v>55</v>
      </c>
    </row>
    <row r="20" spans="1:19" s="10" customFormat="1" ht="15" customHeight="1">
      <c r="A20" s="39"/>
      <c r="B20" s="303"/>
      <c r="C20" s="237"/>
      <c r="D20" s="303"/>
      <c r="E20" s="304"/>
      <c r="F20" s="305"/>
      <c r="G20" s="304" t="s">
        <v>56</v>
      </c>
      <c r="H20" s="304" t="s">
        <v>57</v>
      </c>
      <c r="I20" s="307"/>
      <c r="J20" s="295"/>
      <c r="K20" s="309"/>
      <c r="L20" s="306"/>
      <c r="M20" s="302"/>
      <c r="N20" s="302"/>
      <c r="O20" s="302"/>
      <c r="P20" s="302"/>
      <c r="Q20" s="302"/>
      <c r="R20" s="302"/>
      <c r="S20" s="302"/>
    </row>
    <row r="21" spans="1:19" s="10" customFormat="1" ht="45" customHeight="1">
      <c r="A21" s="31"/>
      <c r="B21" s="6"/>
      <c r="C21" s="238"/>
      <c r="D21" s="6" t="s">
        <v>58</v>
      </c>
      <c r="E21" s="7" t="s">
        <v>328</v>
      </c>
      <c r="F21" s="7"/>
      <c r="G21" s="7"/>
      <c r="H21" s="7"/>
      <c r="I21" s="7"/>
      <c r="J21" s="21"/>
      <c r="K21" s="8"/>
      <c r="L21" s="76">
        <f t="shared" ref="L21:S21" si="0">SUM(L22,L23,L25,L26)</f>
        <v>3694.9079354492383</v>
      </c>
      <c r="M21" s="209">
        <f t="shared" si="0"/>
        <v>738.98158708984761</v>
      </c>
      <c r="N21" s="209">
        <f t="shared" si="0"/>
        <v>738.98158708984761</v>
      </c>
      <c r="O21" s="209">
        <f t="shared" si="0"/>
        <v>738.98158708984761</v>
      </c>
      <c r="P21" s="209">
        <f t="shared" si="0"/>
        <v>738.98158708984761</v>
      </c>
      <c r="Q21" s="209">
        <f t="shared" si="0"/>
        <v>738.98158708984761</v>
      </c>
      <c r="R21" s="209">
        <f t="shared" si="0"/>
        <v>3694.9079354492383</v>
      </c>
      <c r="S21" s="209">
        <f t="shared" si="0"/>
        <v>0</v>
      </c>
    </row>
    <row r="22" spans="1:19" s="10" customFormat="1" ht="30.75" customHeight="1">
      <c r="A22" s="31"/>
      <c r="B22" s="24"/>
      <c r="C22" s="239"/>
      <c r="D22" s="24" t="s">
        <v>60</v>
      </c>
      <c r="E22" s="25" t="s">
        <v>329</v>
      </c>
      <c r="F22" s="25"/>
      <c r="G22" s="25"/>
      <c r="H22" s="25"/>
      <c r="I22" s="25"/>
      <c r="J22" s="27"/>
      <c r="K22" s="30"/>
      <c r="L22" s="77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s="10" customFormat="1" ht="30.75" customHeight="1">
      <c r="A23" s="31"/>
      <c r="B23" s="24"/>
      <c r="C23" s="239"/>
      <c r="D23" s="24" t="s">
        <v>75</v>
      </c>
      <c r="E23" s="25" t="s">
        <v>333</v>
      </c>
      <c r="F23" s="25"/>
      <c r="G23" s="25"/>
      <c r="H23" s="25"/>
      <c r="I23" s="25"/>
      <c r="J23" s="27"/>
      <c r="K23" s="30"/>
      <c r="L23" s="77">
        <f>SUM(L24:L24)</f>
        <v>3694.9079354492383</v>
      </c>
      <c r="M23" s="77">
        <f t="shared" ref="M23:S23" si="1">SUM(M24:M24)</f>
        <v>738.98158708984761</v>
      </c>
      <c r="N23" s="77">
        <f t="shared" si="1"/>
        <v>738.98158708984761</v>
      </c>
      <c r="O23" s="77">
        <f t="shared" si="1"/>
        <v>738.98158708984761</v>
      </c>
      <c r="P23" s="77">
        <f t="shared" si="1"/>
        <v>738.98158708984761</v>
      </c>
      <c r="Q23" s="77">
        <f t="shared" si="1"/>
        <v>738.98158708984761</v>
      </c>
      <c r="R23" s="77">
        <f t="shared" si="1"/>
        <v>3694.9079354492383</v>
      </c>
      <c r="S23" s="77">
        <f t="shared" si="1"/>
        <v>0</v>
      </c>
    </row>
    <row r="24" spans="1:19" s="11" customFormat="1" ht="15" customHeight="1">
      <c r="A24" s="31"/>
      <c r="B24" s="125"/>
      <c r="C24" s="240" t="str">
        <f>+IFERROR(VLOOKUP($B24, 'Services to Beneficiaries'!$B$7:$C$17, 2, 0), " ")</f>
        <v xml:space="preserve"> </v>
      </c>
      <c r="D24" s="32" t="s">
        <v>77</v>
      </c>
      <c r="E24" s="34" t="s">
        <v>553</v>
      </c>
      <c r="F24" s="34">
        <v>4</v>
      </c>
      <c r="G24" s="34" t="s">
        <v>554</v>
      </c>
      <c r="H24" s="78">
        <v>1</v>
      </c>
      <c r="I24" s="34" t="s">
        <v>165</v>
      </c>
      <c r="J24" s="79">
        <v>1</v>
      </c>
      <c r="K24" s="38">
        <v>923.72698386230957</v>
      </c>
      <c r="L24" s="80">
        <f>F24*H24*J24*K24</f>
        <v>3694.9079354492383</v>
      </c>
      <c r="M24" s="38">
        <f>$L24/5</f>
        <v>738.98158708984761</v>
      </c>
      <c r="N24" s="38">
        <f t="shared" ref="N24:Q24" si="2">$L24/5</f>
        <v>738.98158708984761</v>
      </c>
      <c r="O24" s="38">
        <f t="shared" si="2"/>
        <v>738.98158708984761</v>
      </c>
      <c r="P24" s="38">
        <f t="shared" si="2"/>
        <v>738.98158708984761</v>
      </c>
      <c r="Q24" s="38">
        <f t="shared" si="2"/>
        <v>738.98158708984761</v>
      </c>
      <c r="R24" s="38">
        <f>$L24</f>
        <v>3694.9079354492383</v>
      </c>
      <c r="S24" s="38"/>
    </row>
    <row r="25" spans="1:19" s="10" customFormat="1" ht="30.75" customHeight="1">
      <c r="A25" s="39"/>
      <c r="B25" s="24"/>
      <c r="C25" s="239"/>
      <c r="D25" s="24" t="s">
        <v>79</v>
      </c>
      <c r="E25" s="25" t="s">
        <v>80</v>
      </c>
      <c r="F25" s="25"/>
      <c r="G25" s="25"/>
      <c r="H25" s="25"/>
      <c r="I25" s="25"/>
      <c r="J25" s="27"/>
      <c r="K25" s="30"/>
      <c r="L25" s="77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s="10" customFormat="1" ht="30.75" customHeight="1">
      <c r="A26" s="31"/>
      <c r="B26" s="24"/>
      <c r="C26" s="239"/>
      <c r="D26" s="24" t="s">
        <v>83</v>
      </c>
      <c r="E26" s="25" t="s">
        <v>84</v>
      </c>
      <c r="F26" s="25"/>
      <c r="G26" s="25"/>
      <c r="H26" s="25"/>
      <c r="I26" s="25"/>
      <c r="J26" s="27"/>
      <c r="K26" s="30"/>
      <c r="L26" s="77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s="5" customFormat="1" ht="45" customHeight="1">
      <c r="A27" s="31"/>
      <c r="B27" s="6"/>
      <c r="C27" s="238"/>
      <c r="D27" s="6" t="s">
        <v>87</v>
      </c>
      <c r="E27" s="7" t="s">
        <v>88</v>
      </c>
      <c r="F27" s="7"/>
      <c r="G27" s="7"/>
      <c r="H27" s="7"/>
      <c r="I27" s="7"/>
      <c r="J27" s="21"/>
      <c r="K27" s="8"/>
      <c r="L27" s="76">
        <f>SUM(L28,L48,L51)</f>
        <v>296557.25697599759</v>
      </c>
      <c r="M27" s="76">
        <f t="shared" ref="M27:S27" si="3">SUM(M28,M48,M51)</f>
        <v>59311.451395199525</v>
      </c>
      <c r="N27" s="76">
        <f t="shared" si="3"/>
        <v>59311.451395199525</v>
      </c>
      <c r="O27" s="76">
        <f t="shared" si="3"/>
        <v>59311.451395199525</v>
      </c>
      <c r="P27" s="76">
        <f t="shared" si="3"/>
        <v>59311.451395199525</v>
      </c>
      <c r="Q27" s="76">
        <f t="shared" si="3"/>
        <v>59311.451395199525</v>
      </c>
      <c r="R27" s="76">
        <f t="shared" si="3"/>
        <v>148278.62848799879</v>
      </c>
      <c r="S27" s="76">
        <f t="shared" si="3"/>
        <v>148278.62848799879</v>
      </c>
    </row>
    <row r="28" spans="1:19" s="10" customFormat="1" ht="30.75" customHeight="1">
      <c r="A28" s="31"/>
      <c r="B28" s="24"/>
      <c r="C28" s="239"/>
      <c r="D28" s="24" t="s">
        <v>89</v>
      </c>
      <c r="E28" s="25" t="s">
        <v>90</v>
      </c>
      <c r="F28" s="25"/>
      <c r="G28" s="25"/>
      <c r="H28" s="25"/>
      <c r="I28" s="25"/>
      <c r="J28" s="27"/>
      <c r="K28" s="30"/>
      <c r="L28" s="77">
        <f>SUM(L29,L35)</f>
        <v>245750.2187273881</v>
      </c>
      <c r="M28" s="77">
        <f t="shared" ref="M28:O28" si="4">SUM(M29,M35)</f>
        <v>49150.043745477626</v>
      </c>
      <c r="N28" s="77">
        <f t="shared" si="4"/>
        <v>49150.043745477626</v>
      </c>
      <c r="O28" s="77">
        <f t="shared" si="4"/>
        <v>49150.043745477626</v>
      </c>
      <c r="P28" s="77">
        <f t="shared" ref="P28" si="5">SUM(P29,P35)</f>
        <v>49150.043745477626</v>
      </c>
      <c r="Q28" s="77">
        <f t="shared" ref="Q28:R28" si="6">SUM(Q29,Q35)</f>
        <v>49150.043745477626</v>
      </c>
      <c r="R28" s="77">
        <f t="shared" si="6"/>
        <v>122875.10936369405</v>
      </c>
      <c r="S28" s="77">
        <f>SUM(S29,S35)</f>
        <v>122875.10936369405</v>
      </c>
    </row>
    <row r="29" spans="1:19" s="10" customFormat="1" ht="15" customHeight="1">
      <c r="A29" s="31"/>
      <c r="B29" s="40"/>
      <c r="C29" s="241"/>
      <c r="D29" s="40" t="s">
        <v>91</v>
      </c>
      <c r="E29" s="40" t="s">
        <v>92</v>
      </c>
      <c r="F29" s="40"/>
      <c r="G29" s="40"/>
      <c r="H29" s="40"/>
      <c r="I29" s="40"/>
      <c r="J29" s="42"/>
      <c r="K29" s="44"/>
      <c r="L29" s="81">
        <f>SUM(L30:L34)</f>
        <v>164564.54122080939</v>
      </c>
      <c r="M29" s="81">
        <f t="shared" ref="M29:S29" si="7">SUM(M30:M34)</f>
        <v>32912.908244161881</v>
      </c>
      <c r="N29" s="81">
        <f t="shared" si="7"/>
        <v>32912.908244161881</v>
      </c>
      <c r="O29" s="81">
        <f t="shared" si="7"/>
        <v>32912.908244161881</v>
      </c>
      <c r="P29" s="81">
        <f t="shared" si="7"/>
        <v>32912.908244161881</v>
      </c>
      <c r="Q29" s="81">
        <f t="shared" si="7"/>
        <v>32912.908244161881</v>
      </c>
      <c r="R29" s="81">
        <f t="shared" si="7"/>
        <v>82282.270610404696</v>
      </c>
      <c r="S29" s="81">
        <f t="shared" si="7"/>
        <v>82282.270610404696</v>
      </c>
    </row>
    <row r="30" spans="1:19" s="11" customFormat="1" ht="15" customHeight="1">
      <c r="A30" s="31"/>
      <c r="B30" s="125"/>
      <c r="C30" s="240" t="str">
        <f>+IFERROR(VLOOKUP($B30, 'Services to Beneficiaries'!$B$7:$C$17, 2, 0), " ")</f>
        <v xml:space="preserve"> </v>
      </c>
      <c r="D30" s="32" t="s">
        <v>93</v>
      </c>
      <c r="E30" s="34" t="s">
        <v>555</v>
      </c>
      <c r="F30" s="82">
        <v>1</v>
      </c>
      <c r="G30" s="34" t="s">
        <v>95</v>
      </c>
      <c r="H30" s="78">
        <v>1</v>
      </c>
      <c r="I30" s="34" t="s">
        <v>96</v>
      </c>
      <c r="J30" s="82">
        <v>24</v>
      </c>
      <c r="K30" s="38">
        <v>1849.7937681747424</v>
      </c>
      <c r="L30" s="80">
        <f t="shared" ref="L30:L34" si="8">F30*H30*J30*K30</f>
        <v>44395.050436193815</v>
      </c>
      <c r="M30" s="38">
        <f>$L30/5</f>
        <v>8879.0100872387629</v>
      </c>
      <c r="N30" s="38">
        <f t="shared" ref="N30:Q30" si="9">$L30/5</f>
        <v>8879.0100872387629</v>
      </c>
      <c r="O30" s="38">
        <f t="shared" si="9"/>
        <v>8879.0100872387629</v>
      </c>
      <c r="P30" s="38">
        <f t="shared" si="9"/>
        <v>8879.0100872387629</v>
      </c>
      <c r="Q30" s="38">
        <f t="shared" si="9"/>
        <v>8879.0100872387629</v>
      </c>
      <c r="R30" s="38">
        <v>22197.525218096907</v>
      </c>
      <c r="S30" s="38">
        <v>22197.525218096907</v>
      </c>
    </row>
    <row r="31" spans="1:19" s="11" customFormat="1" ht="15" customHeight="1">
      <c r="A31" s="31"/>
      <c r="B31" s="125"/>
      <c r="C31" s="240" t="str">
        <f>+IFERROR(VLOOKUP($B31, 'Services to Beneficiaries'!$B$7:$C$17, 2, 0), " ")</f>
        <v xml:space="preserve"> </v>
      </c>
      <c r="D31" s="32" t="s">
        <v>97</v>
      </c>
      <c r="E31" s="34" t="s">
        <v>556</v>
      </c>
      <c r="F31" s="82">
        <v>1</v>
      </c>
      <c r="G31" s="34" t="s">
        <v>95</v>
      </c>
      <c r="H31" s="78">
        <v>1</v>
      </c>
      <c r="I31" s="34" t="s">
        <v>96</v>
      </c>
      <c r="J31" s="82">
        <v>24</v>
      </c>
      <c r="K31" s="38">
        <v>1849.7937681747424</v>
      </c>
      <c r="L31" s="80">
        <f t="shared" si="8"/>
        <v>44395.050436193815</v>
      </c>
      <c r="M31" s="38">
        <f t="shared" ref="M31:Q46" si="10">$L31/5</f>
        <v>8879.0100872387629</v>
      </c>
      <c r="N31" s="38">
        <f t="shared" si="10"/>
        <v>8879.0100872387629</v>
      </c>
      <c r="O31" s="38">
        <f t="shared" si="10"/>
        <v>8879.0100872387629</v>
      </c>
      <c r="P31" s="38">
        <f t="shared" si="10"/>
        <v>8879.0100872387629</v>
      </c>
      <c r="Q31" s="38">
        <f t="shared" si="10"/>
        <v>8879.0100872387629</v>
      </c>
      <c r="R31" s="38">
        <v>22197.525218096907</v>
      </c>
      <c r="S31" s="38">
        <v>22197.525218096907</v>
      </c>
    </row>
    <row r="32" spans="1:19" s="10" customFormat="1" ht="15" customHeight="1">
      <c r="A32" s="31"/>
      <c r="B32" s="125"/>
      <c r="C32" s="240" t="str">
        <f>+IFERROR(VLOOKUP($B32, 'Services to Beneficiaries'!$B$7:$C$17, 2, 0), " ")</f>
        <v xml:space="preserve"> </v>
      </c>
      <c r="D32" s="32" t="s">
        <v>357</v>
      </c>
      <c r="E32" s="34" t="s">
        <v>557</v>
      </c>
      <c r="F32" s="82">
        <v>1</v>
      </c>
      <c r="G32" s="34" t="s">
        <v>95</v>
      </c>
      <c r="H32" s="78">
        <v>1</v>
      </c>
      <c r="I32" s="34" t="s">
        <v>96</v>
      </c>
      <c r="J32" s="82">
        <v>24</v>
      </c>
      <c r="K32" s="38">
        <v>1198.6115071740232</v>
      </c>
      <c r="L32" s="80">
        <f t="shared" si="8"/>
        <v>28766.676172176558</v>
      </c>
      <c r="M32" s="38">
        <f t="shared" si="10"/>
        <v>5753.3352344353116</v>
      </c>
      <c r="N32" s="38">
        <f t="shared" si="10"/>
        <v>5753.3352344353116</v>
      </c>
      <c r="O32" s="38">
        <f t="shared" si="10"/>
        <v>5753.3352344353116</v>
      </c>
      <c r="P32" s="38">
        <f t="shared" si="10"/>
        <v>5753.3352344353116</v>
      </c>
      <c r="Q32" s="38">
        <f t="shared" si="10"/>
        <v>5753.3352344353116</v>
      </c>
      <c r="R32" s="38">
        <v>14383.338086088279</v>
      </c>
      <c r="S32" s="38">
        <v>14383.338086088279</v>
      </c>
    </row>
    <row r="33" spans="1:20" s="10" customFormat="1" ht="15" customHeight="1">
      <c r="A33" s="31"/>
      <c r="B33" s="125"/>
      <c r="C33" s="240" t="str">
        <f>+IFERROR(VLOOKUP($B33, 'Services to Beneficiaries'!$B$7:$C$17, 2, 0), " ")</f>
        <v xml:space="preserve"> </v>
      </c>
      <c r="D33" s="32" t="s">
        <v>359</v>
      </c>
      <c r="E33" s="34" t="s">
        <v>356</v>
      </c>
      <c r="F33" s="82">
        <v>1</v>
      </c>
      <c r="G33" s="34" t="s">
        <v>95</v>
      </c>
      <c r="H33" s="78">
        <v>1</v>
      </c>
      <c r="I33" s="34" t="s">
        <v>96</v>
      </c>
      <c r="J33" s="82">
        <v>24</v>
      </c>
      <c r="K33" s="38">
        <v>760.04533350285988</v>
      </c>
      <c r="L33" s="80">
        <f t="shared" si="8"/>
        <v>18241.088004068639</v>
      </c>
      <c r="M33" s="38">
        <f t="shared" si="10"/>
        <v>3648.2176008137276</v>
      </c>
      <c r="N33" s="38">
        <f t="shared" si="10"/>
        <v>3648.2176008137276</v>
      </c>
      <c r="O33" s="38">
        <f t="shared" si="10"/>
        <v>3648.2176008137276</v>
      </c>
      <c r="P33" s="38">
        <f t="shared" si="10"/>
        <v>3648.2176008137276</v>
      </c>
      <c r="Q33" s="38">
        <f t="shared" si="10"/>
        <v>3648.2176008137276</v>
      </c>
      <c r="R33" s="38">
        <v>9120.5440020343194</v>
      </c>
      <c r="S33" s="38">
        <v>9120.5440020343194</v>
      </c>
    </row>
    <row r="34" spans="1:20" s="10" customFormat="1" ht="15" customHeight="1">
      <c r="A34" s="9"/>
      <c r="B34" s="125"/>
      <c r="C34" s="240" t="str">
        <f>+IFERROR(VLOOKUP($B34, 'Services to Beneficiaries'!$B$7:$C$17, 2, 0), " ")</f>
        <v xml:space="preserve"> </v>
      </c>
      <c r="D34" s="32" t="s">
        <v>361</v>
      </c>
      <c r="E34" s="34" t="s">
        <v>558</v>
      </c>
      <c r="F34" s="82">
        <v>1</v>
      </c>
      <c r="G34" s="34" t="s">
        <v>95</v>
      </c>
      <c r="H34" s="78">
        <v>1</v>
      </c>
      <c r="I34" s="34" t="s">
        <v>96</v>
      </c>
      <c r="J34" s="82">
        <v>24</v>
      </c>
      <c r="K34" s="38">
        <v>1198.6115071740232</v>
      </c>
      <c r="L34" s="80">
        <f t="shared" si="8"/>
        <v>28766.676172176558</v>
      </c>
      <c r="M34" s="38">
        <f t="shared" si="10"/>
        <v>5753.3352344353116</v>
      </c>
      <c r="N34" s="38">
        <f t="shared" si="10"/>
        <v>5753.3352344353116</v>
      </c>
      <c r="O34" s="38">
        <f t="shared" si="10"/>
        <v>5753.3352344353116</v>
      </c>
      <c r="P34" s="38">
        <f t="shared" si="10"/>
        <v>5753.3352344353116</v>
      </c>
      <c r="Q34" s="38">
        <f t="shared" si="10"/>
        <v>5753.3352344353116</v>
      </c>
      <c r="R34" s="38">
        <v>14383.338086088279</v>
      </c>
      <c r="S34" s="38">
        <v>14383.338086088279</v>
      </c>
    </row>
    <row r="35" spans="1:20" s="5" customFormat="1" ht="15" customHeight="1">
      <c r="A35" s="39"/>
      <c r="B35" s="40"/>
      <c r="C35" s="241"/>
      <c r="D35" s="40" t="s">
        <v>103</v>
      </c>
      <c r="E35" s="40" t="s">
        <v>104</v>
      </c>
      <c r="F35" s="40"/>
      <c r="G35" s="40"/>
      <c r="H35" s="40"/>
      <c r="I35" s="40"/>
      <c r="J35" s="42"/>
      <c r="K35" s="44"/>
      <c r="L35" s="81">
        <f>SUM(L36:L47)</f>
        <v>81185.677506578708</v>
      </c>
      <c r="M35" s="81">
        <f t="shared" ref="M35:S35" si="11">SUM(M36:M47)</f>
        <v>16237.135501315743</v>
      </c>
      <c r="N35" s="81">
        <f t="shared" si="11"/>
        <v>16237.135501315743</v>
      </c>
      <c r="O35" s="81">
        <f t="shared" si="11"/>
        <v>16237.135501315743</v>
      </c>
      <c r="P35" s="81">
        <f t="shared" si="11"/>
        <v>16237.135501315743</v>
      </c>
      <c r="Q35" s="81">
        <f t="shared" si="11"/>
        <v>16237.135501315743</v>
      </c>
      <c r="R35" s="81">
        <f t="shared" si="11"/>
        <v>40592.838753289354</v>
      </c>
      <c r="S35" s="81">
        <f t="shared" si="11"/>
        <v>40592.838753289354</v>
      </c>
    </row>
    <row r="36" spans="1:20" s="12" customFormat="1" ht="15" customHeight="1">
      <c r="A36" s="31"/>
      <c r="B36" s="125"/>
      <c r="C36" s="240" t="str">
        <f>+IFERROR(VLOOKUP($B36, 'Services to Beneficiaries'!$B$7:$C$17, 2, 0), " ")</f>
        <v xml:space="preserve"> </v>
      </c>
      <c r="D36" s="32" t="s">
        <v>107</v>
      </c>
      <c r="E36" s="34" t="s">
        <v>559</v>
      </c>
      <c r="F36" s="82">
        <v>1</v>
      </c>
      <c r="G36" s="34" t="s">
        <v>95</v>
      </c>
      <c r="H36" s="78">
        <v>0.09</v>
      </c>
      <c r="I36" s="78" t="s">
        <v>96</v>
      </c>
      <c r="J36" s="83">
        <v>24</v>
      </c>
      <c r="K36" s="38">
        <v>4580.9847311763042</v>
      </c>
      <c r="L36" s="80">
        <f t="shared" ref="L36:L47" si="12">F36*H36*J36*K36</f>
        <v>9894.9270193408174</v>
      </c>
      <c r="M36" s="38">
        <f t="shared" si="10"/>
        <v>1978.9854038681635</v>
      </c>
      <c r="N36" s="38">
        <f t="shared" si="10"/>
        <v>1978.9854038681635</v>
      </c>
      <c r="O36" s="38">
        <f t="shared" si="10"/>
        <v>1978.9854038681635</v>
      </c>
      <c r="P36" s="38">
        <f t="shared" si="10"/>
        <v>1978.9854038681635</v>
      </c>
      <c r="Q36" s="38">
        <f t="shared" si="10"/>
        <v>1978.9854038681635</v>
      </c>
      <c r="R36" s="38">
        <v>4947.4635096704087</v>
      </c>
      <c r="S36" s="38">
        <v>4947.4635096704087</v>
      </c>
    </row>
    <row r="37" spans="1:20" s="12" customFormat="1" ht="15" customHeight="1">
      <c r="A37" s="39"/>
      <c r="B37" s="125"/>
      <c r="C37" s="240" t="str">
        <f>+IFERROR(VLOOKUP($B37, 'Services to Beneficiaries'!$B$7:$C$17, 2, 0), " ")</f>
        <v xml:space="preserve"> </v>
      </c>
      <c r="D37" s="32" t="s">
        <v>109</v>
      </c>
      <c r="E37" s="34" t="s">
        <v>376</v>
      </c>
      <c r="F37" s="82">
        <v>1</v>
      </c>
      <c r="G37" s="34" t="s">
        <v>95</v>
      </c>
      <c r="H37" s="78">
        <v>0.09</v>
      </c>
      <c r="I37" s="78" t="s">
        <v>96</v>
      </c>
      <c r="J37" s="83">
        <v>24</v>
      </c>
      <c r="K37" s="38">
        <v>3663.2324134456157</v>
      </c>
      <c r="L37" s="80">
        <f t="shared" si="12"/>
        <v>7912.5820130425309</v>
      </c>
      <c r="M37" s="38">
        <f t="shared" si="10"/>
        <v>1582.5164026085063</v>
      </c>
      <c r="N37" s="38">
        <f t="shared" si="10"/>
        <v>1582.5164026085063</v>
      </c>
      <c r="O37" s="38">
        <f t="shared" si="10"/>
        <v>1582.5164026085063</v>
      </c>
      <c r="P37" s="38">
        <f t="shared" si="10"/>
        <v>1582.5164026085063</v>
      </c>
      <c r="Q37" s="38">
        <f t="shared" si="10"/>
        <v>1582.5164026085063</v>
      </c>
      <c r="R37" s="38">
        <v>3956.2910065212654</v>
      </c>
      <c r="S37" s="38">
        <v>3956.2910065212654</v>
      </c>
    </row>
    <row r="38" spans="1:20" s="12" customFormat="1" ht="15" customHeight="1">
      <c r="A38" s="31"/>
      <c r="B38" s="125"/>
      <c r="C38" s="240" t="str">
        <f>+IFERROR(VLOOKUP($B38, 'Services to Beneficiaries'!$B$7:$C$17, 2, 0), " ")</f>
        <v xml:space="preserve"> </v>
      </c>
      <c r="D38" s="32" t="s">
        <v>111</v>
      </c>
      <c r="E38" s="34" t="s">
        <v>560</v>
      </c>
      <c r="F38" s="82">
        <v>1</v>
      </c>
      <c r="G38" s="34" t="s">
        <v>95</v>
      </c>
      <c r="H38" s="78">
        <v>0.09</v>
      </c>
      <c r="I38" s="78" t="s">
        <v>96</v>
      </c>
      <c r="J38" s="83">
        <v>24</v>
      </c>
      <c r="K38" s="38">
        <v>3283.2342254592581</v>
      </c>
      <c r="L38" s="80">
        <f t="shared" si="12"/>
        <v>7091.7859269919982</v>
      </c>
      <c r="M38" s="38">
        <f t="shared" si="10"/>
        <v>1418.3571853983997</v>
      </c>
      <c r="N38" s="38">
        <f t="shared" si="10"/>
        <v>1418.3571853983997</v>
      </c>
      <c r="O38" s="38">
        <f t="shared" si="10"/>
        <v>1418.3571853983997</v>
      </c>
      <c r="P38" s="38">
        <f t="shared" si="10"/>
        <v>1418.3571853983997</v>
      </c>
      <c r="Q38" s="38">
        <f t="shared" si="10"/>
        <v>1418.3571853983997</v>
      </c>
      <c r="R38" s="38">
        <v>3545.8929634959991</v>
      </c>
      <c r="S38" s="38">
        <v>3545.8929634959991</v>
      </c>
    </row>
    <row r="39" spans="1:20" s="5" customFormat="1" ht="15" customHeight="1">
      <c r="A39" s="31"/>
      <c r="B39" s="125"/>
      <c r="C39" s="240" t="str">
        <f>+IFERROR(VLOOKUP($B39, 'Services to Beneficiaries'!$B$7:$C$17, 2, 0), " ")</f>
        <v xml:space="preserve"> </v>
      </c>
      <c r="D39" s="32" t="s">
        <v>115</v>
      </c>
      <c r="E39" s="34" t="s">
        <v>561</v>
      </c>
      <c r="F39" s="82">
        <v>1</v>
      </c>
      <c r="G39" s="34" t="s">
        <v>95</v>
      </c>
      <c r="H39" s="78">
        <v>0.09</v>
      </c>
      <c r="I39" s="78" t="s">
        <v>96</v>
      </c>
      <c r="J39" s="83">
        <v>24</v>
      </c>
      <c r="K39" s="38">
        <v>2797.8249327094527</v>
      </c>
      <c r="L39" s="80">
        <f t="shared" si="12"/>
        <v>6043.3018546524181</v>
      </c>
      <c r="M39" s="38">
        <f t="shared" si="10"/>
        <v>1208.6603709304836</v>
      </c>
      <c r="N39" s="38">
        <f t="shared" si="10"/>
        <v>1208.6603709304836</v>
      </c>
      <c r="O39" s="38">
        <f t="shared" si="10"/>
        <v>1208.6603709304836</v>
      </c>
      <c r="P39" s="38">
        <f t="shared" si="10"/>
        <v>1208.6603709304836</v>
      </c>
      <c r="Q39" s="38">
        <f t="shared" si="10"/>
        <v>1208.6603709304836</v>
      </c>
      <c r="R39" s="38">
        <v>3021.6509273262091</v>
      </c>
      <c r="S39" s="38">
        <v>3021.6509273262091</v>
      </c>
    </row>
    <row r="40" spans="1:20" s="13" customFormat="1" ht="15" customHeight="1">
      <c r="A40" s="9"/>
      <c r="B40" s="125"/>
      <c r="C40" s="240" t="str">
        <f>+IFERROR(VLOOKUP($B40, 'Services to Beneficiaries'!$B$7:$C$17, 2, 0), " ")</f>
        <v xml:space="preserve"> </v>
      </c>
      <c r="D40" s="32" t="s">
        <v>117</v>
      </c>
      <c r="E40" s="34" t="s">
        <v>562</v>
      </c>
      <c r="F40" s="82">
        <v>1</v>
      </c>
      <c r="G40" s="34" t="s">
        <v>95</v>
      </c>
      <c r="H40" s="78">
        <v>0.09</v>
      </c>
      <c r="I40" s="78" t="s">
        <v>96</v>
      </c>
      <c r="J40" s="83">
        <v>24</v>
      </c>
      <c r="K40" s="38">
        <v>2557.6771626258815</v>
      </c>
      <c r="L40" s="80">
        <f t="shared" si="12"/>
        <v>5524.5826712719045</v>
      </c>
      <c r="M40" s="38">
        <f t="shared" si="10"/>
        <v>1104.9165342543808</v>
      </c>
      <c r="N40" s="38">
        <f t="shared" si="10"/>
        <v>1104.9165342543808</v>
      </c>
      <c r="O40" s="38">
        <f t="shared" si="10"/>
        <v>1104.9165342543808</v>
      </c>
      <c r="P40" s="38">
        <f t="shared" si="10"/>
        <v>1104.9165342543808</v>
      </c>
      <c r="Q40" s="38">
        <f t="shared" si="10"/>
        <v>1104.9165342543808</v>
      </c>
      <c r="R40" s="38">
        <v>2762.2913356359522</v>
      </c>
      <c r="S40" s="38">
        <v>2762.2913356359522</v>
      </c>
    </row>
    <row r="41" spans="1:20" s="10" customFormat="1" ht="15" customHeight="1">
      <c r="A41" s="39"/>
      <c r="B41" s="125"/>
      <c r="C41" s="240" t="str">
        <f>+IFERROR(VLOOKUP($B41, 'Services to Beneficiaries'!$B$7:$C$17, 2, 0), " ")</f>
        <v xml:space="preserve"> </v>
      </c>
      <c r="D41" s="32" t="s">
        <v>119</v>
      </c>
      <c r="E41" s="34" t="s">
        <v>563</v>
      </c>
      <c r="F41" s="82">
        <v>1</v>
      </c>
      <c r="G41" s="34" t="s">
        <v>95</v>
      </c>
      <c r="H41" s="78">
        <v>0.09</v>
      </c>
      <c r="I41" s="78" t="s">
        <v>96</v>
      </c>
      <c r="J41" s="83">
        <v>24</v>
      </c>
      <c r="K41" s="38">
        <v>2250.3180934695042</v>
      </c>
      <c r="L41" s="80">
        <f t="shared" si="12"/>
        <v>4860.6870818941297</v>
      </c>
      <c r="M41" s="38">
        <f t="shared" si="10"/>
        <v>972.13741637882595</v>
      </c>
      <c r="N41" s="38">
        <f t="shared" si="10"/>
        <v>972.13741637882595</v>
      </c>
      <c r="O41" s="38">
        <f t="shared" si="10"/>
        <v>972.13741637882595</v>
      </c>
      <c r="P41" s="38">
        <f t="shared" si="10"/>
        <v>972.13741637882595</v>
      </c>
      <c r="Q41" s="38">
        <f t="shared" si="10"/>
        <v>972.13741637882595</v>
      </c>
      <c r="R41" s="38">
        <v>2430.3435409470649</v>
      </c>
      <c r="S41" s="38">
        <v>2430.3435409470649</v>
      </c>
    </row>
    <row r="42" spans="1:20" s="13" customFormat="1" ht="15" customHeight="1">
      <c r="A42" s="31"/>
      <c r="B42" s="125"/>
      <c r="C42" s="240" t="str">
        <f>+IFERROR(VLOOKUP($B42, 'Services to Beneficiaries'!$B$7:$C$17, 2, 0), " ")</f>
        <v xml:space="preserve"> </v>
      </c>
      <c r="D42" s="32" t="s">
        <v>121</v>
      </c>
      <c r="E42" s="34" t="s">
        <v>564</v>
      </c>
      <c r="F42" s="82">
        <v>1</v>
      </c>
      <c r="G42" s="34" t="s">
        <v>95</v>
      </c>
      <c r="H42" s="78">
        <v>0.13</v>
      </c>
      <c r="I42" s="78" t="s">
        <v>96</v>
      </c>
      <c r="J42" s="83">
        <v>24</v>
      </c>
      <c r="K42" s="38">
        <v>1911.7398234395325</v>
      </c>
      <c r="L42" s="80">
        <f t="shared" si="12"/>
        <v>5964.6282491313414</v>
      </c>
      <c r="M42" s="38">
        <f t="shared" si="10"/>
        <v>1192.9256498262682</v>
      </c>
      <c r="N42" s="38">
        <f t="shared" si="10"/>
        <v>1192.9256498262682</v>
      </c>
      <c r="O42" s="38">
        <f t="shared" si="10"/>
        <v>1192.9256498262682</v>
      </c>
      <c r="P42" s="38">
        <f t="shared" si="10"/>
        <v>1192.9256498262682</v>
      </c>
      <c r="Q42" s="38">
        <f t="shared" si="10"/>
        <v>1192.9256498262682</v>
      </c>
      <c r="R42" s="38">
        <v>2982.3141245656707</v>
      </c>
      <c r="S42" s="38">
        <v>2982.3141245656707</v>
      </c>
    </row>
    <row r="43" spans="1:20" s="10" customFormat="1" ht="15" customHeight="1">
      <c r="A43" s="31"/>
      <c r="B43" s="125"/>
      <c r="C43" s="240" t="str">
        <f>+IFERROR(VLOOKUP($B43, 'Services to Beneficiaries'!$B$7:$C$17, 2, 0), " ")</f>
        <v xml:space="preserve"> </v>
      </c>
      <c r="D43" s="32" t="s">
        <v>123</v>
      </c>
      <c r="E43" s="34" t="s">
        <v>565</v>
      </c>
      <c r="F43" s="82">
        <v>1</v>
      </c>
      <c r="G43" s="34" t="s">
        <v>95</v>
      </c>
      <c r="H43" s="78">
        <v>0.13</v>
      </c>
      <c r="I43" s="78" t="s">
        <v>96</v>
      </c>
      <c r="J43" s="83">
        <v>24</v>
      </c>
      <c r="K43" s="38">
        <v>1796.8928475359317</v>
      </c>
      <c r="L43" s="80">
        <f t="shared" si="12"/>
        <v>5606.3056843121067</v>
      </c>
      <c r="M43" s="38">
        <f t="shared" si="10"/>
        <v>1121.2611368624214</v>
      </c>
      <c r="N43" s="38">
        <f t="shared" si="10"/>
        <v>1121.2611368624214</v>
      </c>
      <c r="O43" s="38">
        <f t="shared" si="10"/>
        <v>1121.2611368624214</v>
      </c>
      <c r="P43" s="38">
        <f t="shared" si="10"/>
        <v>1121.2611368624214</v>
      </c>
      <c r="Q43" s="38">
        <f t="shared" si="10"/>
        <v>1121.2611368624214</v>
      </c>
      <c r="R43" s="38">
        <v>2803.1528421560533</v>
      </c>
      <c r="S43" s="38">
        <v>2803.1528421560533</v>
      </c>
    </row>
    <row r="44" spans="1:20" s="10" customFormat="1" ht="15" customHeight="1">
      <c r="A44" s="31"/>
      <c r="B44" s="125"/>
      <c r="C44" s="240" t="str">
        <f>+IFERROR(VLOOKUP($B44, 'Services to Beneficiaries'!$B$7:$C$17, 2, 0), " ")</f>
        <v xml:space="preserve"> </v>
      </c>
      <c r="D44" s="32" t="s">
        <v>125</v>
      </c>
      <c r="E44" s="34" t="s">
        <v>566</v>
      </c>
      <c r="F44" s="82">
        <v>1</v>
      </c>
      <c r="G44" s="34" t="s">
        <v>95</v>
      </c>
      <c r="H44" s="78">
        <v>0.13</v>
      </c>
      <c r="I44" s="78" t="s">
        <v>96</v>
      </c>
      <c r="J44" s="83">
        <v>24</v>
      </c>
      <c r="K44" s="38">
        <v>1271.0039908993124</v>
      </c>
      <c r="L44" s="80">
        <f t="shared" si="12"/>
        <v>3965.5324516058549</v>
      </c>
      <c r="M44" s="38">
        <f t="shared" si="10"/>
        <v>793.10649032117101</v>
      </c>
      <c r="N44" s="38">
        <f t="shared" si="10"/>
        <v>793.10649032117101</v>
      </c>
      <c r="O44" s="38">
        <f t="shared" si="10"/>
        <v>793.10649032117101</v>
      </c>
      <c r="P44" s="38">
        <f t="shared" si="10"/>
        <v>793.10649032117101</v>
      </c>
      <c r="Q44" s="38">
        <f t="shared" si="10"/>
        <v>793.10649032117101</v>
      </c>
      <c r="R44" s="38">
        <v>1982.7662258029275</v>
      </c>
      <c r="S44" s="38">
        <v>1982.7662258029275</v>
      </c>
    </row>
    <row r="45" spans="1:20" s="13" customFormat="1" ht="15" customHeight="1">
      <c r="A45" s="39"/>
      <c r="B45" s="125"/>
      <c r="C45" s="240" t="str">
        <f>+IFERROR(VLOOKUP($B45, 'Services to Beneficiaries'!$B$7:$C$17, 2, 0), " ")</f>
        <v xml:space="preserve"> </v>
      </c>
      <c r="D45" s="32" t="s">
        <v>127</v>
      </c>
      <c r="E45" s="34" t="s">
        <v>567</v>
      </c>
      <c r="F45" s="82">
        <v>1</v>
      </c>
      <c r="G45" s="34" t="s">
        <v>95</v>
      </c>
      <c r="H45" s="78">
        <v>0.05</v>
      </c>
      <c r="I45" s="78" t="s">
        <v>96</v>
      </c>
      <c r="J45" s="83">
        <v>24</v>
      </c>
      <c r="K45" s="38">
        <v>7079.5914006381581</v>
      </c>
      <c r="L45" s="80">
        <f t="shared" si="12"/>
        <v>8495.5096807657901</v>
      </c>
      <c r="M45" s="38">
        <f t="shared" si="10"/>
        <v>1699.101936153158</v>
      </c>
      <c r="N45" s="38">
        <f t="shared" si="10"/>
        <v>1699.101936153158</v>
      </c>
      <c r="O45" s="38">
        <f t="shared" si="10"/>
        <v>1699.101936153158</v>
      </c>
      <c r="P45" s="38">
        <f t="shared" si="10"/>
        <v>1699.101936153158</v>
      </c>
      <c r="Q45" s="38">
        <f t="shared" si="10"/>
        <v>1699.101936153158</v>
      </c>
      <c r="R45" s="38">
        <v>4247.7548403828951</v>
      </c>
      <c r="S45" s="38">
        <v>4247.7548403828951</v>
      </c>
    </row>
    <row r="46" spans="1:20" s="13" customFormat="1" ht="15" customHeight="1">
      <c r="A46" s="31"/>
      <c r="B46" s="125"/>
      <c r="C46" s="240" t="str">
        <f>+IFERROR(VLOOKUP($B46, 'Services to Beneficiaries'!$B$7:$C$17, 2, 0), " ")</f>
        <v xml:space="preserve"> </v>
      </c>
      <c r="D46" s="32" t="s">
        <v>129</v>
      </c>
      <c r="E46" s="34" t="s">
        <v>568</v>
      </c>
      <c r="F46" s="82">
        <v>1</v>
      </c>
      <c r="G46" s="34" t="s">
        <v>95</v>
      </c>
      <c r="H46" s="78">
        <v>0.17</v>
      </c>
      <c r="I46" s="78" t="s">
        <v>96</v>
      </c>
      <c r="J46" s="83">
        <v>24</v>
      </c>
      <c r="K46" s="38">
        <v>1878.3664912395714</v>
      </c>
      <c r="L46" s="80">
        <f t="shared" si="12"/>
        <v>7663.735284257451</v>
      </c>
      <c r="M46" s="38">
        <f t="shared" si="10"/>
        <v>1532.7470568514902</v>
      </c>
      <c r="N46" s="38">
        <f t="shared" si="10"/>
        <v>1532.7470568514902</v>
      </c>
      <c r="O46" s="38">
        <f t="shared" si="10"/>
        <v>1532.7470568514902</v>
      </c>
      <c r="P46" s="38">
        <f t="shared" si="10"/>
        <v>1532.7470568514902</v>
      </c>
      <c r="Q46" s="38">
        <f t="shared" si="10"/>
        <v>1532.7470568514902</v>
      </c>
      <c r="R46" s="38">
        <v>3831.8676421287255</v>
      </c>
      <c r="S46" s="38">
        <v>3831.8676421287255</v>
      </c>
    </row>
    <row r="47" spans="1:20" s="10" customFormat="1" ht="15" customHeight="1">
      <c r="A47" s="31"/>
      <c r="B47" s="125"/>
      <c r="C47" s="240" t="str">
        <f>+IFERROR(VLOOKUP($B47, 'Services to Beneficiaries'!$B$7:$C$17, 2, 0), " ")</f>
        <v xml:space="preserve"> </v>
      </c>
      <c r="D47" s="32" t="s">
        <v>381</v>
      </c>
      <c r="E47" s="34" t="s">
        <v>569</v>
      </c>
      <c r="F47" s="82">
        <v>1</v>
      </c>
      <c r="G47" s="34" t="s">
        <v>95</v>
      </c>
      <c r="H47" s="78">
        <v>0.17</v>
      </c>
      <c r="I47" s="78" t="s">
        <v>96</v>
      </c>
      <c r="J47" s="83">
        <v>24</v>
      </c>
      <c r="K47" s="38">
        <v>2000.5146052236198</v>
      </c>
      <c r="L47" s="80">
        <f t="shared" si="12"/>
        <v>8162.0995893123691</v>
      </c>
      <c r="M47" s="38">
        <f t="shared" ref="M47:Q47" si="13">$L47/5</f>
        <v>1632.4199178624738</v>
      </c>
      <c r="N47" s="38">
        <f t="shared" si="13"/>
        <v>1632.4199178624738</v>
      </c>
      <c r="O47" s="38">
        <f t="shared" si="13"/>
        <v>1632.4199178624738</v>
      </c>
      <c r="P47" s="38">
        <f t="shared" si="13"/>
        <v>1632.4199178624738</v>
      </c>
      <c r="Q47" s="38">
        <f t="shared" si="13"/>
        <v>1632.4199178624738</v>
      </c>
      <c r="R47" s="38">
        <v>4081.0497946561845</v>
      </c>
      <c r="S47" s="38">
        <v>4081.0497946561845</v>
      </c>
    </row>
    <row r="48" spans="1:20" s="13" customFormat="1" ht="30.75" customHeight="1">
      <c r="A48" s="5"/>
      <c r="B48" s="24"/>
      <c r="C48" s="239"/>
      <c r="D48" s="24" t="s">
        <v>131</v>
      </c>
      <c r="E48" s="25" t="s">
        <v>132</v>
      </c>
      <c r="F48" s="25"/>
      <c r="G48" s="25"/>
      <c r="H48" s="25"/>
      <c r="I48" s="25"/>
      <c r="J48" s="27"/>
      <c r="K48" s="30"/>
      <c r="L48" s="77">
        <f>SUM(L49,L50)</f>
        <v>0</v>
      </c>
      <c r="M48" s="77">
        <f t="shared" ref="M48:S48" si="14">SUM(M49,M50)</f>
        <v>0</v>
      </c>
      <c r="N48" s="77">
        <f t="shared" si="14"/>
        <v>0</v>
      </c>
      <c r="O48" s="77">
        <f t="shared" si="14"/>
        <v>0</v>
      </c>
      <c r="P48" s="77">
        <f t="shared" si="14"/>
        <v>0</v>
      </c>
      <c r="Q48" s="77">
        <f t="shared" si="14"/>
        <v>0</v>
      </c>
      <c r="R48" s="77">
        <f t="shared" si="14"/>
        <v>0</v>
      </c>
      <c r="S48" s="77">
        <f t="shared" si="14"/>
        <v>0</v>
      </c>
      <c r="T48" s="15"/>
    </row>
    <row r="49" spans="1:20" s="10" customFormat="1" ht="15" customHeight="1">
      <c r="A49" s="9"/>
      <c r="B49" s="40"/>
      <c r="C49" s="241"/>
      <c r="D49" s="40" t="s">
        <v>133</v>
      </c>
      <c r="E49" s="40" t="s">
        <v>134</v>
      </c>
      <c r="F49" s="40"/>
      <c r="G49" s="40"/>
      <c r="H49" s="40"/>
      <c r="I49" s="40"/>
      <c r="J49" s="42"/>
      <c r="K49" s="44">
        <v>0</v>
      </c>
      <c r="L49" s="81">
        <v>0</v>
      </c>
      <c r="M49" s="44">
        <f t="shared" ref="M49:Q50" si="15">$L49/5</f>
        <v>0</v>
      </c>
      <c r="N49" s="44">
        <f t="shared" si="15"/>
        <v>0</v>
      </c>
      <c r="O49" s="44">
        <f t="shared" si="15"/>
        <v>0</v>
      </c>
      <c r="P49" s="44">
        <f t="shared" si="15"/>
        <v>0</v>
      </c>
      <c r="Q49" s="44">
        <f t="shared" si="15"/>
        <v>0</v>
      </c>
      <c r="R49" s="44">
        <v>0</v>
      </c>
      <c r="S49" s="44">
        <v>0</v>
      </c>
      <c r="T49" s="15"/>
    </row>
    <row r="50" spans="1:20" s="13" customFormat="1" ht="15" customHeight="1">
      <c r="A50" s="39"/>
      <c r="B50" s="40"/>
      <c r="C50" s="241"/>
      <c r="D50" s="40" t="s">
        <v>137</v>
      </c>
      <c r="E50" s="40" t="s">
        <v>138</v>
      </c>
      <c r="F50" s="40"/>
      <c r="G50" s="40"/>
      <c r="H50" s="40"/>
      <c r="I50" s="40"/>
      <c r="J50" s="42"/>
      <c r="K50" s="44">
        <v>0</v>
      </c>
      <c r="L50" s="81">
        <v>0</v>
      </c>
      <c r="M50" s="44">
        <f t="shared" si="15"/>
        <v>0</v>
      </c>
      <c r="N50" s="44">
        <f t="shared" si="15"/>
        <v>0</v>
      </c>
      <c r="O50" s="44">
        <f t="shared" si="15"/>
        <v>0</v>
      </c>
      <c r="P50" s="44">
        <f t="shared" si="15"/>
        <v>0</v>
      </c>
      <c r="Q50" s="44">
        <f t="shared" si="15"/>
        <v>0</v>
      </c>
      <c r="R50" s="44">
        <v>0</v>
      </c>
      <c r="S50" s="44">
        <v>0</v>
      </c>
      <c r="T50" s="15"/>
    </row>
    <row r="51" spans="1:20" s="13" customFormat="1" ht="30.75" customHeight="1">
      <c r="A51" s="31"/>
      <c r="B51" s="24"/>
      <c r="C51" s="239"/>
      <c r="D51" s="24" t="s">
        <v>140</v>
      </c>
      <c r="E51" s="25" t="s">
        <v>141</v>
      </c>
      <c r="F51" s="25"/>
      <c r="G51" s="25"/>
      <c r="H51" s="25"/>
      <c r="I51" s="25"/>
      <c r="J51" s="27"/>
      <c r="K51" s="30"/>
      <c r="L51" s="77">
        <f>SUM(L52,L56)</f>
        <v>50807.038248609504</v>
      </c>
      <c r="M51" s="77">
        <f t="shared" ref="M51:S51" si="16">SUM(M52,M56)</f>
        <v>10161.407649721899</v>
      </c>
      <c r="N51" s="77">
        <f t="shared" si="16"/>
        <v>10161.407649721899</v>
      </c>
      <c r="O51" s="77">
        <f t="shared" si="16"/>
        <v>10161.407649721899</v>
      </c>
      <c r="P51" s="77">
        <f t="shared" si="16"/>
        <v>10161.407649721899</v>
      </c>
      <c r="Q51" s="77">
        <f t="shared" si="16"/>
        <v>10161.407649721899</v>
      </c>
      <c r="R51" s="77">
        <f t="shared" si="16"/>
        <v>25403.519124304752</v>
      </c>
      <c r="S51" s="77">
        <f t="shared" si="16"/>
        <v>25403.519124304752</v>
      </c>
      <c r="T51" s="15"/>
    </row>
    <row r="52" spans="1:20" s="5" customFormat="1" ht="15" customHeight="1">
      <c r="A52" s="31"/>
      <c r="B52" s="40"/>
      <c r="C52" s="241"/>
      <c r="D52" s="40" t="s">
        <v>142</v>
      </c>
      <c r="E52" s="40" t="s">
        <v>143</v>
      </c>
      <c r="F52" s="40"/>
      <c r="G52" s="40"/>
      <c r="H52" s="40"/>
      <c r="I52" s="40"/>
      <c r="J52" s="42"/>
      <c r="K52" s="44"/>
      <c r="L52" s="81">
        <f>SUM(L53:L55)</f>
        <v>29841.151077242164</v>
      </c>
      <c r="M52" s="81">
        <f t="shared" ref="M52:S52" si="17">SUM(M53:M55)</f>
        <v>5968.2302154484332</v>
      </c>
      <c r="N52" s="81">
        <f t="shared" si="17"/>
        <v>5968.2302154484332</v>
      </c>
      <c r="O52" s="81">
        <f t="shared" si="17"/>
        <v>5968.2302154484332</v>
      </c>
      <c r="P52" s="81">
        <f t="shared" si="17"/>
        <v>5968.2302154484332</v>
      </c>
      <c r="Q52" s="81">
        <f t="shared" si="17"/>
        <v>5968.2302154484332</v>
      </c>
      <c r="R52" s="81">
        <f t="shared" si="17"/>
        <v>14920.575538621082</v>
      </c>
      <c r="S52" s="81">
        <f t="shared" si="17"/>
        <v>14920.575538621082</v>
      </c>
      <c r="T52" s="15"/>
    </row>
    <row r="53" spans="1:20" ht="15" customHeight="1">
      <c r="A53" s="31"/>
      <c r="B53" s="125"/>
      <c r="C53" s="240" t="str">
        <f>+IFERROR(VLOOKUP($B53, 'Services to Beneficiaries'!$B$7:$C$17, 2, 0), " ")</f>
        <v xml:space="preserve"> </v>
      </c>
      <c r="D53" s="32" t="s">
        <v>142</v>
      </c>
      <c r="E53" s="34" t="s">
        <v>570</v>
      </c>
      <c r="F53" s="34">
        <v>1</v>
      </c>
      <c r="G53" s="34" t="s">
        <v>95</v>
      </c>
      <c r="H53" s="78">
        <v>0.25</v>
      </c>
      <c r="I53" s="34" t="s">
        <v>96</v>
      </c>
      <c r="J53" s="82">
        <v>22</v>
      </c>
      <c r="K53" s="38">
        <v>3802.3102838066666</v>
      </c>
      <c r="L53" s="80">
        <f t="shared" ref="L53:L55" si="18">F53*H53*J53*K53</f>
        <v>20912.706560936665</v>
      </c>
      <c r="M53" s="38">
        <f t="shared" ref="M53:Q58" si="19">$L53/5</f>
        <v>4182.5413121873335</v>
      </c>
      <c r="N53" s="38">
        <f t="shared" si="19"/>
        <v>4182.5413121873335</v>
      </c>
      <c r="O53" s="38">
        <f t="shared" si="19"/>
        <v>4182.5413121873335</v>
      </c>
      <c r="P53" s="38">
        <f t="shared" si="19"/>
        <v>4182.5413121873335</v>
      </c>
      <c r="Q53" s="38">
        <f t="shared" si="19"/>
        <v>4182.5413121873335</v>
      </c>
      <c r="R53" s="38">
        <v>10456.353280468333</v>
      </c>
      <c r="S53" s="38">
        <v>10456.353280468333</v>
      </c>
    </row>
    <row r="54" spans="1:20" ht="15" customHeight="1">
      <c r="A54" s="39"/>
      <c r="B54" s="125"/>
      <c r="C54" s="240" t="str">
        <f>+IFERROR(VLOOKUP($B54, 'Services to Beneficiaries'!$B$7:$C$17, 2, 0), " ")</f>
        <v xml:space="preserve"> </v>
      </c>
      <c r="D54" s="32" t="s">
        <v>147</v>
      </c>
      <c r="E54" s="34" t="s">
        <v>571</v>
      </c>
      <c r="F54" s="34">
        <v>1</v>
      </c>
      <c r="G54" s="34" t="s">
        <v>95</v>
      </c>
      <c r="H54" s="78">
        <v>7.0000000000000007E-2</v>
      </c>
      <c r="I54" s="34" t="s">
        <v>96</v>
      </c>
      <c r="J54" s="82">
        <v>15</v>
      </c>
      <c r="K54" s="38">
        <v>4173.1528291766672</v>
      </c>
      <c r="L54" s="80">
        <f t="shared" si="18"/>
        <v>4381.8104706355007</v>
      </c>
      <c r="M54" s="38">
        <f t="shared" si="19"/>
        <v>876.36209412710014</v>
      </c>
      <c r="N54" s="38">
        <f t="shared" si="19"/>
        <v>876.36209412710014</v>
      </c>
      <c r="O54" s="38">
        <f t="shared" si="19"/>
        <v>876.36209412710014</v>
      </c>
      <c r="P54" s="38">
        <f t="shared" si="19"/>
        <v>876.36209412710014</v>
      </c>
      <c r="Q54" s="38">
        <f t="shared" si="19"/>
        <v>876.36209412710014</v>
      </c>
      <c r="R54" s="38">
        <v>2190.9052353177503</v>
      </c>
      <c r="S54" s="38">
        <v>2190.9052353177503</v>
      </c>
    </row>
    <row r="55" spans="1:20" ht="15" customHeight="1">
      <c r="A55" s="31"/>
      <c r="B55" s="125"/>
      <c r="C55" s="240" t="str">
        <f>+IFERROR(VLOOKUP($B55, 'Services to Beneficiaries'!$B$7:$C$17, 2, 0), " ")</f>
        <v xml:space="preserve"> </v>
      </c>
      <c r="D55" s="32" t="s">
        <v>149</v>
      </c>
      <c r="E55" s="34" t="s">
        <v>572</v>
      </c>
      <c r="F55" s="34">
        <v>1</v>
      </c>
      <c r="G55" s="34" t="s">
        <v>95</v>
      </c>
      <c r="H55" s="78">
        <v>0.06</v>
      </c>
      <c r="I55" s="34" t="s">
        <v>96</v>
      </c>
      <c r="J55" s="82">
        <v>15</v>
      </c>
      <c r="K55" s="38">
        <v>5051.8156062999997</v>
      </c>
      <c r="L55" s="80">
        <f t="shared" si="18"/>
        <v>4546.6340456699991</v>
      </c>
      <c r="M55" s="38">
        <f t="shared" si="19"/>
        <v>909.32680913399986</v>
      </c>
      <c r="N55" s="38">
        <f t="shared" si="19"/>
        <v>909.32680913399986</v>
      </c>
      <c r="O55" s="38">
        <f t="shared" si="19"/>
        <v>909.32680913399986</v>
      </c>
      <c r="P55" s="38">
        <f t="shared" si="19"/>
        <v>909.32680913399986</v>
      </c>
      <c r="Q55" s="38">
        <f t="shared" si="19"/>
        <v>909.32680913399986</v>
      </c>
      <c r="R55" s="38">
        <v>2273.3170228349995</v>
      </c>
      <c r="S55" s="38">
        <v>2273.3170228349995</v>
      </c>
    </row>
    <row r="56" spans="1:20" ht="15" customHeight="1">
      <c r="A56" s="31"/>
      <c r="B56" s="40"/>
      <c r="C56" s="241"/>
      <c r="D56" s="40" t="s">
        <v>151</v>
      </c>
      <c r="E56" s="40" t="s">
        <v>152</v>
      </c>
      <c r="F56" s="40"/>
      <c r="G56" s="40"/>
      <c r="H56" s="40"/>
      <c r="I56" s="40"/>
      <c r="J56" s="42"/>
      <c r="K56" s="44"/>
      <c r="L56" s="81">
        <f>SUM(L57:L58)</f>
        <v>20965.887171367336</v>
      </c>
      <c r="M56" s="81">
        <f t="shared" ref="M56:S56" si="20">SUM(M57:M58)</f>
        <v>4193.177434273467</v>
      </c>
      <c r="N56" s="81">
        <f t="shared" si="20"/>
        <v>4193.177434273467</v>
      </c>
      <c r="O56" s="81">
        <f t="shared" si="20"/>
        <v>4193.177434273467</v>
      </c>
      <c r="P56" s="81">
        <f t="shared" si="20"/>
        <v>4193.177434273467</v>
      </c>
      <c r="Q56" s="81">
        <f t="shared" si="20"/>
        <v>4193.177434273467</v>
      </c>
      <c r="R56" s="81">
        <f t="shared" si="20"/>
        <v>10482.943585683668</v>
      </c>
      <c r="S56" s="81">
        <f t="shared" si="20"/>
        <v>10482.943585683668</v>
      </c>
    </row>
    <row r="57" spans="1:20" ht="15" customHeight="1">
      <c r="A57" s="9"/>
      <c r="B57" s="125"/>
      <c r="C57" s="240" t="str">
        <f>+IFERROR(VLOOKUP($B57, 'Services to Beneficiaries'!$B$7:$C$17, 2, 0), " ")</f>
        <v xml:space="preserve"> </v>
      </c>
      <c r="D57" s="32" t="s">
        <v>153</v>
      </c>
      <c r="E57" s="34" t="s">
        <v>573</v>
      </c>
      <c r="F57" s="34">
        <v>1</v>
      </c>
      <c r="G57" s="34" t="s">
        <v>95</v>
      </c>
      <c r="H57" s="78">
        <v>0.2</v>
      </c>
      <c r="I57" s="34" t="s">
        <v>96</v>
      </c>
      <c r="J57" s="82">
        <v>22</v>
      </c>
      <c r="K57" s="38">
        <v>3758.8787890066665</v>
      </c>
      <c r="L57" s="80">
        <f t="shared" ref="L57:L58" si="21">F57*H57*J57*K57</f>
        <v>16539.066671629334</v>
      </c>
      <c r="M57" s="38">
        <f t="shared" si="19"/>
        <v>3307.8133343258669</v>
      </c>
      <c r="N57" s="38">
        <f t="shared" si="19"/>
        <v>3307.8133343258669</v>
      </c>
      <c r="O57" s="38">
        <f t="shared" si="19"/>
        <v>3307.8133343258669</v>
      </c>
      <c r="P57" s="38">
        <f t="shared" si="19"/>
        <v>3307.8133343258669</v>
      </c>
      <c r="Q57" s="38">
        <f t="shared" si="19"/>
        <v>3307.8133343258669</v>
      </c>
      <c r="R57" s="38">
        <v>8269.5333358146672</v>
      </c>
      <c r="S57" s="38">
        <v>8269.5333358146672</v>
      </c>
    </row>
    <row r="58" spans="1:20" ht="15" customHeight="1">
      <c r="A58" s="39"/>
      <c r="B58" s="125"/>
      <c r="C58" s="240" t="str">
        <f>+IFERROR(VLOOKUP($B58, 'Services to Beneficiaries'!$B$7:$C$17, 2, 0), " ")</f>
        <v xml:space="preserve"> </v>
      </c>
      <c r="D58" s="32" t="s">
        <v>155</v>
      </c>
      <c r="E58" s="34" t="s">
        <v>386</v>
      </c>
      <c r="F58" s="34">
        <v>1</v>
      </c>
      <c r="G58" s="34" t="s">
        <v>95</v>
      </c>
      <c r="H58" s="78">
        <v>0.06</v>
      </c>
      <c r="I58" s="34" t="s">
        <v>96</v>
      </c>
      <c r="J58" s="82">
        <v>15</v>
      </c>
      <c r="K58" s="38">
        <v>4918.6894441533341</v>
      </c>
      <c r="L58" s="80">
        <f t="shared" si="21"/>
        <v>4426.8204997379999</v>
      </c>
      <c r="M58" s="38">
        <f t="shared" si="19"/>
        <v>885.36409994759993</v>
      </c>
      <c r="N58" s="38">
        <f t="shared" si="19"/>
        <v>885.36409994759993</v>
      </c>
      <c r="O58" s="38">
        <f t="shared" si="19"/>
        <v>885.36409994759993</v>
      </c>
      <c r="P58" s="38">
        <f t="shared" si="19"/>
        <v>885.36409994759993</v>
      </c>
      <c r="Q58" s="38">
        <f t="shared" si="19"/>
        <v>885.36409994759993</v>
      </c>
      <c r="R58" s="38">
        <v>2213.4102498689999</v>
      </c>
      <c r="S58" s="38">
        <v>2213.4102498689999</v>
      </c>
    </row>
    <row r="59" spans="1:20" ht="45" customHeight="1">
      <c r="A59" s="31"/>
      <c r="B59" s="6"/>
      <c r="C59" s="238"/>
      <c r="D59" s="6" t="s">
        <v>157</v>
      </c>
      <c r="E59" s="7" t="s">
        <v>158</v>
      </c>
      <c r="F59" s="7"/>
      <c r="G59" s="7"/>
      <c r="H59" s="7"/>
      <c r="I59" s="7"/>
      <c r="J59" s="21"/>
      <c r="K59" s="8"/>
      <c r="L59" s="76">
        <f>SUM(L60,L68,L77,L80,L85)</f>
        <v>67764.551889395501</v>
      </c>
      <c r="M59" s="76">
        <f>SUM(M60,M68,M77,M80,M85)</f>
        <v>13552.9103778791</v>
      </c>
      <c r="N59" s="76">
        <f t="shared" ref="N59:S59" si="22">SUM(N60,N68,N77,N80,N85)</f>
        <v>13552.9103778791</v>
      </c>
      <c r="O59" s="76">
        <f t="shared" si="22"/>
        <v>13552.9103778791</v>
      </c>
      <c r="P59" s="76">
        <f t="shared" si="22"/>
        <v>13552.9103778791</v>
      </c>
      <c r="Q59" s="76">
        <f t="shared" si="22"/>
        <v>13552.9103778791</v>
      </c>
      <c r="R59" s="76">
        <f>SUM(R60,R68,R77,R80,R85)</f>
        <v>33882.275944697751</v>
      </c>
      <c r="S59" s="76">
        <f t="shared" si="22"/>
        <v>33882.275944697751</v>
      </c>
    </row>
    <row r="60" spans="1:20" ht="30.75" customHeight="1">
      <c r="A60" s="31"/>
      <c r="B60" s="24"/>
      <c r="C60" s="239"/>
      <c r="D60" s="24" t="s">
        <v>159</v>
      </c>
      <c r="E60" s="25" t="s">
        <v>160</v>
      </c>
      <c r="F60" s="25"/>
      <c r="G60" s="25"/>
      <c r="H60" s="25"/>
      <c r="I60" s="25"/>
      <c r="J60" s="27"/>
      <c r="K60" s="30"/>
      <c r="L60" s="77">
        <f>SUM(L61,L65)</f>
        <v>13175.923172857867</v>
      </c>
      <c r="M60" s="77">
        <f t="shared" ref="M60:S60" si="23">SUM(M61,M65)</f>
        <v>2635.184634571573</v>
      </c>
      <c r="N60" s="77">
        <f t="shared" si="23"/>
        <v>2635.184634571573</v>
      </c>
      <c r="O60" s="77">
        <f t="shared" si="23"/>
        <v>2635.184634571573</v>
      </c>
      <c r="P60" s="77">
        <f t="shared" si="23"/>
        <v>2635.184634571573</v>
      </c>
      <c r="Q60" s="77">
        <f t="shared" si="23"/>
        <v>2635.184634571573</v>
      </c>
      <c r="R60" s="77">
        <f>SUM(R61,R65)</f>
        <v>6587.9615864289335</v>
      </c>
      <c r="S60" s="77">
        <f t="shared" si="23"/>
        <v>6587.9615864289335</v>
      </c>
    </row>
    <row r="61" spans="1:20" ht="15" customHeight="1">
      <c r="A61" s="31"/>
      <c r="B61" s="40"/>
      <c r="C61" s="241"/>
      <c r="D61" s="40" t="s">
        <v>161</v>
      </c>
      <c r="E61" s="40" t="s">
        <v>162</v>
      </c>
      <c r="F61" s="40"/>
      <c r="G61" s="40"/>
      <c r="H61" s="40"/>
      <c r="I61" s="40"/>
      <c r="J61" s="42"/>
      <c r="K61" s="44"/>
      <c r="L61" s="81">
        <f>SUM(L62:L64)</f>
        <v>10219.996824498476</v>
      </c>
      <c r="M61" s="81">
        <f t="shared" ref="M61:S61" si="24">SUM(M62:M64)</f>
        <v>2043.9993648996951</v>
      </c>
      <c r="N61" s="81">
        <f t="shared" si="24"/>
        <v>2043.9993648996951</v>
      </c>
      <c r="O61" s="81">
        <f t="shared" si="24"/>
        <v>2043.9993648996951</v>
      </c>
      <c r="P61" s="81">
        <f t="shared" si="24"/>
        <v>2043.9993648996951</v>
      </c>
      <c r="Q61" s="81">
        <f t="shared" si="24"/>
        <v>2043.9993648996951</v>
      </c>
      <c r="R61" s="81">
        <f t="shared" si="24"/>
        <v>5109.9984122492378</v>
      </c>
      <c r="S61" s="81">
        <f t="shared" si="24"/>
        <v>5109.9984122492378</v>
      </c>
    </row>
    <row r="62" spans="1:20" ht="15" customHeight="1">
      <c r="A62" s="31"/>
      <c r="B62" s="125"/>
      <c r="C62" s="240" t="str">
        <f>+IFERROR(VLOOKUP($B62, 'Services to Beneficiaries'!$B$7:$C$17, 2, 0), " ")</f>
        <v xml:space="preserve"> </v>
      </c>
      <c r="D62" s="32" t="s">
        <v>163</v>
      </c>
      <c r="E62" s="34" t="s">
        <v>574</v>
      </c>
      <c r="F62" s="34">
        <v>4</v>
      </c>
      <c r="G62" s="34" t="s">
        <v>329</v>
      </c>
      <c r="H62" s="78">
        <v>0.15</v>
      </c>
      <c r="I62" s="34" t="s">
        <v>96</v>
      </c>
      <c r="J62" s="84">
        <v>24</v>
      </c>
      <c r="K62" s="38">
        <v>196.540344</v>
      </c>
      <c r="L62" s="80">
        <f t="shared" ref="L62:L64" si="25">F62*H62*J62*K62</f>
        <v>2830.1809535999996</v>
      </c>
      <c r="M62" s="38">
        <f t="shared" ref="M62:Q67" si="26">$L62/5</f>
        <v>566.03619071999992</v>
      </c>
      <c r="N62" s="38">
        <f t="shared" si="26"/>
        <v>566.03619071999992</v>
      </c>
      <c r="O62" s="38">
        <f t="shared" si="26"/>
        <v>566.03619071999992</v>
      </c>
      <c r="P62" s="38">
        <f t="shared" si="26"/>
        <v>566.03619071999992</v>
      </c>
      <c r="Q62" s="38">
        <f t="shared" si="26"/>
        <v>566.03619071999992</v>
      </c>
      <c r="R62" s="38">
        <v>1415.0904767999998</v>
      </c>
      <c r="S62" s="38">
        <v>1415.0904767999998</v>
      </c>
    </row>
    <row r="63" spans="1:20" ht="15" customHeight="1">
      <c r="A63" s="39"/>
      <c r="B63" s="125"/>
      <c r="C63" s="240" t="str">
        <f>+IFERROR(VLOOKUP($B63, 'Services to Beneficiaries'!$B$7:$C$17, 2, 0), " ")</f>
        <v xml:space="preserve"> </v>
      </c>
      <c r="D63" s="32" t="s">
        <v>167</v>
      </c>
      <c r="E63" s="34" t="s">
        <v>575</v>
      </c>
      <c r="F63" s="34">
        <v>4</v>
      </c>
      <c r="G63" s="34" t="s">
        <v>329</v>
      </c>
      <c r="H63" s="78">
        <v>0.1</v>
      </c>
      <c r="I63" s="34" t="s">
        <v>96</v>
      </c>
      <c r="J63" s="84">
        <v>24</v>
      </c>
      <c r="K63" s="38">
        <v>615.81798924153964</v>
      </c>
      <c r="L63" s="80">
        <f t="shared" si="25"/>
        <v>5911.8526967187818</v>
      </c>
      <c r="M63" s="38">
        <f t="shared" si="26"/>
        <v>1182.3705393437563</v>
      </c>
      <c r="N63" s="38">
        <f t="shared" si="26"/>
        <v>1182.3705393437563</v>
      </c>
      <c r="O63" s="38">
        <f t="shared" si="26"/>
        <v>1182.3705393437563</v>
      </c>
      <c r="P63" s="38">
        <f t="shared" si="26"/>
        <v>1182.3705393437563</v>
      </c>
      <c r="Q63" s="38">
        <f t="shared" si="26"/>
        <v>1182.3705393437563</v>
      </c>
      <c r="R63" s="38">
        <v>2955.9263483593909</v>
      </c>
      <c r="S63" s="38">
        <v>2955.9263483593909</v>
      </c>
    </row>
    <row r="64" spans="1:20" ht="15" customHeight="1">
      <c r="A64" s="31"/>
      <c r="B64" s="125"/>
      <c r="C64" s="240" t="str">
        <f>+IFERROR(VLOOKUP($B64, 'Services to Beneficiaries'!$B$7:$C$17, 2, 0), " ")</f>
        <v xml:space="preserve"> </v>
      </c>
      <c r="D64" s="32" t="s">
        <v>169</v>
      </c>
      <c r="E64" s="34" t="s">
        <v>576</v>
      </c>
      <c r="F64" s="34">
        <v>4</v>
      </c>
      <c r="G64" s="34" t="s">
        <v>329</v>
      </c>
      <c r="H64" s="78">
        <v>0.1</v>
      </c>
      <c r="I64" s="34" t="s">
        <v>577</v>
      </c>
      <c r="J64" s="84">
        <v>4</v>
      </c>
      <c r="K64" s="38">
        <v>923.72698386230957</v>
      </c>
      <c r="L64" s="80">
        <f t="shared" si="25"/>
        <v>1477.9631741796954</v>
      </c>
      <c r="M64" s="38">
        <f t="shared" si="26"/>
        <v>295.59263483593907</v>
      </c>
      <c r="N64" s="38">
        <f t="shared" si="26"/>
        <v>295.59263483593907</v>
      </c>
      <c r="O64" s="38">
        <f t="shared" si="26"/>
        <v>295.59263483593907</v>
      </c>
      <c r="P64" s="38">
        <f t="shared" si="26"/>
        <v>295.59263483593907</v>
      </c>
      <c r="Q64" s="38">
        <f t="shared" si="26"/>
        <v>295.59263483593907</v>
      </c>
      <c r="R64" s="38">
        <v>738.98158708984772</v>
      </c>
      <c r="S64" s="38">
        <v>738.98158708984772</v>
      </c>
    </row>
    <row r="65" spans="1:19" ht="15" customHeight="1">
      <c r="A65" s="31"/>
      <c r="B65" s="40"/>
      <c r="C65" s="241"/>
      <c r="D65" s="40" t="s">
        <v>188</v>
      </c>
      <c r="E65" s="40" t="s">
        <v>189</v>
      </c>
      <c r="F65" s="40"/>
      <c r="G65" s="40"/>
      <c r="H65" s="40"/>
      <c r="I65" s="40"/>
      <c r="J65" s="42"/>
      <c r="K65" s="44"/>
      <c r="L65" s="81">
        <f>SUM(L66:L67)</f>
        <v>2955.9263483593904</v>
      </c>
      <c r="M65" s="81">
        <f t="shared" ref="M65:S65" si="27">SUM(M66:M67)</f>
        <v>591.18526967187813</v>
      </c>
      <c r="N65" s="81">
        <f t="shared" si="27"/>
        <v>591.18526967187813</v>
      </c>
      <c r="O65" s="81">
        <f t="shared" si="27"/>
        <v>591.18526967187813</v>
      </c>
      <c r="P65" s="81">
        <f t="shared" si="27"/>
        <v>591.18526967187813</v>
      </c>
      <c r="Q65" s="81">
        <f t="shared" si="27"/>
        <v>591.18526967187813</v>
      </c>
      <c r="R65" s="81">
        <f t="shared" si="27"/>
        <v>1477.9631741796952</v>
      </c>
      <c r="S65" s="81">
        <f t="shared" si="27"/>
        <v>1477.9631741796952</v>
      </c>
    </row>
    <row r="66" spans="1:19" ht="15" customHeight="1">
      <c r="A66" s="31"/>
      <c r="B66" s="125"/>
      <c r="C66" s="240" t="str">
        <f>+IFERROR(VLOOKUP($B66, 'Services to Beneficiaries'!$B$7:$C$17, 2, 0), " ")</f>
        <v xml:space="preserve"> </v>
      </c>
      <c r="D66" s="32" t="s">
        <v>190</v>
      </c>
      <c r="E66" s="34" t="s">
        <v>575</v>
      </c>
      <c r="F66" s="34">
        <v>1</v>
      </c>
      <c r="G66" s="34" t="s">
        <v>329</v>
      </c>
      <c r="H66" s="78">
        <v>0.15</v>
      </c>
      <c r="I66" s="34" t="s">
        <v>96</v>
      </c>
      <c r="J66" s="84">
        <v>24</v>
      </c>
      <c r="K66" s="38">
        <v>615.81798924153964</v>
      </c>
      <c r="L66" s="80">
        <f t="shared" ref="L66:L67" si="28">F66*H66*J66*K66</f>
        <v>2216.9447612695426</v>
      </c>
      <c r="M66" s="38">
        <f t="shared" si="26"/>
        <v>443.38895225390854</v>
      </c>
      <c r="N66" s="38">
        <f t="shared" si="26"/>
        <v>443.38895225390854</v>
      </c>
      <c r="O66" s="38">
        <f t="shared" si="26"/>
        <v>443.38895225390854</v>
      </c>
      <c r="P66" s="38">
        <f t="shared" si="26"/>
        <v>443.38895225390854</v>
      </c>
      <c r="Q66" s="38">
        <f t="shared" si="26"/>
        <v>443.38895225390854</v>
      </c>
      <c r="R66" s="38">
        <v>1108.4723806347713</v>
      </c>
      <c r="S66" s="38">
        <v>1108.4723806347713</v>
      </c>
    </row>
    <row r="67" spans="1:19" ht="15" customHeight="1">
      <c r="A67" s="31"/>
      <c r="B67" s="125"/>
      <c r="C67" s="240" t="str">
        <f>+IFERROR(VLOOKUP($B67, 'Services to Beneficiaries'!$B$7:$C$17, 2, 0), " ")</f>
        <v xml:space="preserve"> </v>
      </c>
      <c r="D67" s="32" t="s">
        <v>458</v>
      </c>
      <c r="E67" s="34" t="s">
        <v>576</v>
      </c>
      <c r="F67" s="34">
        <v>1</v>
      </c>
      <c r="G67" s="34" t="s">
        <v>329</v>
      </c>
      <c r="H67" s="78">
        <v>0.2</v>
      </c>
      <c r="I67" s="34" t="s">
        <v>577</v>
      </c>
      <c r="J67" s="84">
        <v>4</v>
      </c>
      <c r="K67" s="38">
        <v>923.72698386230957</v>
      </c>
      <c r="L67" s="80">
        <f t="shared" si="28"/>
        <v>738.98158708984772</v>
      </c>
      <c r="M67" s="38">
        <f t="shared" si="26"/>
        <v>147.79631741796953</v>
      </c>
      <c r="N67" s="38">
        <f t="shared" si="26"/>
        <v>147.79631741796953</v>
      </c>
      <c r="O67" s="38">
        <f t="shared" si="26"/>
        <v>147.79631741796953</v>
      </c>
      <c r="P67" s="38">
        <f t="shared" si="26"/>
        <v>147.79631741796953</v>
      </c>
      <c r="Q67" s="38">
        <f t="shared" si="26"/>
        <v>147.79631741796953</v>
      </c>
      <c r="R67" s="38">
        <v>369.49079354492386</v>
      </c>
      <c r="S67" s="38">
        <v>369.49079354492386</v>
      </c>
    </row>
    <row r="68" spans="1:19" ht="30.75" customHeight="1">
      <c r="A68" s="9"/>
      <c r="B68" s="24"/>
      <c r="C68" s="239"/>
      <c r="D68" s="24" t="s">
        <v>192</v>
      </c>
      <c r="E68" s="25" t="s">
        <v>193</v>
      </c>
      <c r="F68" s="25"/>
      <c r="G68" s="25"/>
      <c r="H68" s="25"/>
      <c r="I68" s="25"/>
      <c r="J68" s="27"/>
      <c r="K68" s="30"/>
      <c r="L68" s="77">
        <f>SUM(L69,L74)</f>
        <v>14436.68</v>
      </c>
      <c r="M68" s="77">
        <f t="shared" ref="M68:S68" si="29">SUM(M69,M74)</f>
        <v>2887.3360000000002</v>
      </c>
      <c r="N68" s="77">
        <f t="shared" si="29"/>
        <v>2887.3360000000002</v>
      </c>
      <c r="O68" s="77">
        <f t="shared" si="29"/>
        <v>2887.3360000000002</v>
      </c>
      <c r="P68" s="77">
        <f t="shared" si="29"/>
        <v>2887.3360000000002</v>
      </c>
      <c r="Q68" s="77">
        <f t="shared" si="29"/>
        <v>2887.3360000000002</v>
      </c>
      <c r="R68" s="77">
        <f>SUM(R69,R74)</f>
        <v>7218.34</v>
      </c>
      <c r="S68" s="77">
        <f t="shared" si="29"/>
        <v>7218.34</v>
      </c>
    </row>
    <row r="69" spans="1:19" ht="15" customHeight="1">
      <c r="A69" s="31"/>
      <c r="B69" s="40"/>
      <c r="C69" s="241"/>
      <c r="D69" s="40" t="s">
        <v>194</v>
      </c>
      <c r="E69" s="40" t="s">
        <v>195</v>
      </c>
      <c r="F69" s="40"/>
      <c r="G69" s="40"/>
      <c r="H69" s="40"/>
      <c r="I69" s="40"/>
      <c r="J69" s="42"/>
      <c r="K69" s="44"/>
      <c r="L69" s="81">
        <f>SUM(L70,L72)</f>
        <v>14436.68</v>
      </c>
      <c r="M69" s="81">
        <f t="shared" ref="M69:S69" si="30">SUM(M70,M72)</f>
        <v>2887.3360000000002</v>
      </c>
      <c r="N69" s="81">
        <f t="shared" si="30"/>
        <v>2887.3360000000002</v>
      </c>
      <c r="O69" s="81">
        <f t="shared" si="30"/>
        <v>2887.3360000000002</v>
      </c>
      <c r="P69" s="81">
        <f t="shared" si="30"/>
        <v>2887.3360000000002</v>
      </c>
      <c r="Q69" s="81">
        <f t="shared" si="30"/>
        <v>2887.3360000000002</v>
      </c>
      <c r="R69" s="81">
        <f>SUM(R70,R72)</f>
        <v>7218.34</v>
      </c>
      <c r="S69" s="81">
        <f t="shared" si="30"/>
        <v>7218.34</v>
      </c>
    </row>
    <row r="70" spans="1:19" ht="15" customHeight="1">
      <c r="A70" s="31"/>
      <c r="B70" s="45"/>
      <c r="C70" s="242"/>
      <c r="D70" s="45" t="s">
        <v>196</v>
      </c>
      <c r="E70" s="46" t="s">
        <v>197</v>
      </c>
      <c r="F70" s="46"/>
      <c r="G70" s="46"/>
      <c r="H70" s="46"/>
      <c r="I70" s="46"/>
      <c r="J70" s="46"/>
      <c r="K70" s="50"/>
      <c r="L70" s="85">
        <f>SUM(L71:L71)</f>
        <v>7218.34</v>
      </c>
      <c r="M70" s="85">
        <f t="shared" ref="M70:S70" si="31">SUM(M71:M71)</f>
        <v>1443.6680000000001</v>
      </c>
      <c r="N70" s="85">
        <f t="shared" si="31"/>
        <v>1443.6680000000001</v>
      </c>
      <c r="O70" s="85">
        <f t="shared" si="31"/>
        <v>1443.6680000000001</v>
      </c>
      <c r="P70" s="85">
        <f t="shared" si="31"/>
        <v>1443.6680000000001</v>
      </c>
      <c r="Q70" s="85">
        <f t="shared" si="31"/>
        <v>1443.6680000000001</v>
      </c>
      <c r="R70" s="85">
        <f t="shared" si="31"/>
        <v>3609.17</v>
      </c>
      <c r="S70" s="85">
        <f t="shared" si="31"/>
        <v>3609.17</v>
      </c>
    </row>
    <row r="71" spans="1:19" ht="15" customHeight="1">
      <c r="A71" s="9"/>
      <c r="B71" s="125"/>
      <c r="C71" s="240" t="str">
        <f>+IFERROR(VLOOKUP($B71, 'Services to Beneficiaries'!$B$7:$C$17, 2, 0), " ")</f>
        <v xml:space="preserve"> </v>
      </c>
      <c r="D71" s="32" t="s">
        <v>198</v>
      </c>
      <c r="E71" s="34" t="s">
        <v>578</v>
      </c>
      <c r="F71" s="34">
        <v>2</v>
      </c>
      <c r="G71" s="34" t="s">
        <v>579</v>
      </c>
      <c r="H71" s="34">
        <v>1</v>
      </c>
      <c r="I71" s="34" t="s">
        <v>165</v>
      </c>
      <c r="J71" s="84">
        <v>1</v>
      </c>
      <c r="K71" s="38">
        <v>3609.17</v>
      </c>
      <c r="L71" s="80">
        <f>F71*H71*J71*K71</f>
        <v>7218.34</v>
      </c>
      <c r="M71" s="38">
        <f t="shared" ref="M71:Q71" si="32">$L71/5</f>
        <v>1443.6680000000001</v>
      </c>
      <c r="N71" s="38">
        <f t="shared" si="32"/>
        <v>1443.6680000000001</v>
      </c>
      <c r="O71" s="38">
        <f t="shared" si="32"/>
        <v>1443.6680000000001</v>
      </c>
      <c r="P71" s="38">
        <f t="shared" si="32"/>
        <v>1443.6680000000001</v>
      </c>
      <c r="Q71" s="38">
        <f t="shared" si="32"/>
        <v>1443.6680000000001</v>
      </c>
      <c r="R71" s="38">
        <v>3609.17</v>
      </c>
      <c r="S71" s="38">
        <v>3609.17</v>
      </c>
    </row>
    <row r="72" spans="1:19" ht="15" customHeight="1">
      <c r="A72" s="39"/>
      <c r="B72" s="45"/>
      <c r="C72" s="242"/>
      <c r="D72" s="45" t="s">
        <v>204</v>
      </c>
      <c r="E72" s="46" t="s">
        <v>205</v>
      </c>
      <c r="F72" s="46"/>
      <c r="G72" s="46"/>
      <c r="H72" s="46"/>
      <c r="I72" s="46"/>
      <c r="J72" s="48"/>
      <c r="K72" s="50"/>
      <c r="L72" s="85">
        <f>SUM(L73:L73)</f>
        <v>7218.34</v>
      </c>
      <c r="M72" s="50">
        <f t="shared" ref="M72" si="33">SUM(M73:M73)</f>
        <v>1443.6680000000001</v>
      </c>
      <c r="N72" s="50">
        <f t="shared" ref="N72" si="34">SUM(N73:N73)</f>
        <v>1443.6680000000001</v>
      </c>
      <c r="O72" s="50">
        <f t="shared" ref="O72" si="35">SUM(O73:O73)</f>
        <v>1443.6680000000001</v>
      </c>
      <c r="P72" s="50">
        <f t="shared" ref="P72" si="36">SUM(P73:P73)</f>
        <v>1443.6680000000001</v>
      </c>
      <c r="Q72" s="50">
        <f t="shared" ref="Q72" si="37">SUM(Q73:Q73)</f>
        <v>1443.6680000000001</v>
      </c>
      <c r="R72" s="50">
        <f t="shared" ref="R72" si="38">SUM(R73:R73)</f>
        <v>3609.17</v>
      </c>
      <c r="S72" s="50">
        <f t="shared" ref="S72" si="39">SUM(S73:S73)</f>
        <v>3609.17</v>
      </c>
    </row>
    <row r="73" spans="1:19" ht="15" customHeight="1">
      <c r="A73" s="31"/>
      <c r="B73" s="125"/>
      <c r="C73" s="240" t="str">
        <f>+IFERROR(VLOOKUP($B73, 'Services to Beneficiaries'!$B$7:$C$17, 2, 0), " ")</f>
        <v xml:space="preserve"> </v>
      </c>
      <c r="D73" s="32" t="s">
        <v>206</v>
      </c>
      <c r="E73" s="34" t="s">
        <v>578</v>
      </c>
      <c r="F73" s="34">
        <v>2</v>
      </c>
      <c r="G73" s="34" t="s">
        <v>579</v>
      </c>
      <c r="H73" s="34">
        <v>1</v>
      </c>
      <c r="I73" s="34" t="s">
        <v>165</v>
      </c>
      <c r="J73" s="35">
        <v>1</v>
      </c>
      <c r="K73" s="38">
        <v>3609.17</v>
      </c>
      <c r="L73" s="80">
        <f>F73*H73*J73*K73</f>
        <v>7218.34</v>
      </c>
      <c r="M73" s="38">
        <f t="shared" ref="M73:Q73" si="40">$L73/5</f>
        <v>1443.6680000000001</v>
      </c>
      <c r="N73" s="38">
        <f t="shared" si="40"/>
        <v>1443.6680000000001</v>
      </c>
      <c r="O73" s="38">
        <f t="shared" si="40"/>
        <v>1443.6680000000001</v>
      </c>
      <c r="P73" s="38">
        <f t="shared" si="40"/>
        <v>1443.6680000000001</v>
      </c>
      <c r="Q73" s="38">
        <f t="shared" si="40"/>
        <v>1443.6680000000001</v>
      </c>
      <c r="R73" s="38">
        <v>3609.17</v>
      </c>
      <c r="S73" s="38">
        <v>3609.17</v>
      </c>
    </row>
    <row r="74" spans="1:19" ht="15" customHeight="1">
      <c r="A74" s="39"/>
      <c r="B74" s="40"/>
      <c r="C74" s="241"/>
      <c r="D74" s="40" t="s">
        <v>207</v>
      </c>
      <c r="E74" s="40" t="s">
        <v>208</v>
      </c>
      <c r="F74" s="40"/>
      <c r="G74" s="40"/>
      <c r="H74" s="40"/>
      <c r="I74" s="40"/>
      <c r="J74" s="42"/>
      <c r="K74" s="44"/>
      <c r="L74" s="81">
        <f>SUM(L75,L76)</f>
        <v>0</v>
      </c>
      <c r="M74" s="81">
        <f t="shared" ref="M74:S74" si="41">SUM(M75,M76)</f>
        <v>0</v>
      </c>
      <c r="N74" s="81">
        <f t="shared" si="41"/>
        <v>0</v>
      </c>
      <c r="O74" s="81">
        <f t="shared" si="41"/>
        <v>0</v>
      </c>
      <c r="P74" s="81">
        <f t="shared" si="41"/>
        <v>0</v>
      </c>
      <c r="Q74" s="81">
        <f t="shared" si="41"/>
        <v>0</v>
      </c>
      <c r="R74" s="81">
        <f t="shared" si="41"/>
        <v>0</v>
      </c>
      <c r="S74" s="81">
        <f t="shared" si="41"/>
        <v>0</v>
      </c>
    </row>
    <row r="75" spans="1:19" ht="15" customHeight="1">
      <c r="A75" s="31"/>
      <c r="B75" s="45"/>
      <c r="C75" s="242"/>
      <c r="D75" s="45" t="s">
        <v>209</v>
      </c>
      <c r="E75" s="46" t="s">
        <v>393</v>
      </c>
      <c r="F75" s="46"/>
      <c r="G75" s="46"/>
      <c r="H75" s="46"/>
      <c r="I75" s="46"/>
      <c r="J75" s="48"/>
      <c r="K75" s="50">
        <v>0</v>
      </c>
      <c r="L75" s="85">
        <v>0</v>
      </c>
      <c r="M75" s="50">
        <f t="shared" ref="M75:Q76" si="42">$L75/5</f>
        <v>0</v>
      </c>
      <c r="N75" s="50">
        <f t="shared" si="42"/>
        <v>0</v>
      </c>
      <c r="O75" s="50">
        <f t="shared" si="42"/>
        <v>0</v>
      </c>
      <c r="P75" s="50">
        <f t="shared" si="42"/>
        <v>0</v>
      </c>
      <c r="Q75" s="50">
        <f t="shared" si="42"/>
        <v>0</v>
      </c>
      <c r="R75" s="50">
        <v>0</v>
      </c>
      <c r="S75" s="50">
        <v>0</v>
      </c>
    </row>
    <row r="76" spans="1:19" ht="15" customHeight="1">
      <c r="A76" s="31"/>
      <c r="B76" s="45"/>
      <c r="C76" s="242"/>
      <c r="D76" s="45" t="s">
        <v>212</v>
      </c>
      <c r="E76" s="46" t="s">
        <v>213</v>
      </c>
      <c r="F76" s="46"/>
      <c r="G76" s="46"/>
      <c r="H76" s="46"/>
      <c r="I76" s="46"/>
      <c r="J76" s="48"/>
      <c r="K76" s="50">
        <v>0</v>
      </c>
      <c r="L76" s="85">
        <v>0</v>
      </c>
      <c r="M76" s="50">
        <f t="shared" si="42"/>
        <v>0</v>
      </c>
      <c r="N76" s="50">
        <f t="shared" si="42"/>
        <v>0</v>
      </c>
      <c r="O76" s="50">
        <f t="shared" si="42"/>
        <v>0</v>
      </c>
      <c r="P76" s="50">
        <f t="shared" si="42"/>
        <v>0</v>
      </c>
      <c r="Q76" s="50">
        <f t="shared" si="42"/>
        <v>0</v>
      </c>
      <c r="R76" s="50">
        <v>0</v>
      </c>
      <c r="S76" s="50">
        <v>0</v>
      </c>
    </row>
    <row r="77" spans="1:19" ht="30.75" customHeight="1">
      <c r="A77" s="31"/>
      <c r="B77" s="24"/>
      <c r="C77" s="239"/>
      <c r="D77" s="24" t="s">
        <v>222</v>
      </c>
      <c r="E77" s="25" t="s">
        <v>223</v>
      </c>
      <c r="F77" s="25"/>
      <c r="G77" s="25"/>
      <c r="H77" s="25"/>
      <c r="I77" s="25"/>
      <c r="J77" s="27"/>
      <c r="K77" s="30"/>
      <c r="L77" s="77">
        <f>SUM(L78,L79)</f>
        <v>13849.746578042228</v>
      </c>
      <c r="M77" s="77">
        <f t="shared" ref="M77:S77" si="43">SUM(M78,M79)</f>
        <v>2769.9493156084454</v>
      </c>
      <c r="N77" s="77">
        <f t="shared" si="43"/>
        <v>2769.9493156084454</v>
      </c>
      <c r="O77" s="77">
        <f t="shared" si="43"/>
        <v>2769.9493156084454</v>
      </c>
      <c r="P77" s="77">
        <f t="shared" si="43"/>
        <v>2769.9493156084454</v>
      </c>
      <c r="Q77" s="77">
        <f t="shared" si="43"/>
        <v>2769.9493156084454</v>
      </c>
      <c r="R77" s="77">
        <f t="shared" si="43"/>
        <v>6924.873289021114</v>
      </c>
      <c r="S77" s="77">
        <f t="shared" si="43"/>
        <v>6924.873289021114</v>
      </c>
    </row>
    <row r="78" spans="1:19" ht="15" customHeight="1">
      <c r="A78" s="9"/>
      <c r="B78" s="125"/>
      <c r="C78" s="240" t="str">
        <f>+IFERROR(VLOOKUP($B78, 'Services to Beneficiaries'!$B$7:$C$17, 2, 0), " ")</f>
        <v xml:space="preserve"> </v>
      </c>
      <c r="D78" s="32" t="s">
        <v>224</v>
      </c>
      <c r="E78" s="34" t="s">
        <v>580</v>
      </c>
      <c r="F78" s="34">
        <v>1</v>
      </c>
      <c r="G78" s="34" t="s">
        <v>165</v>
      </c>
      <c r="H78" s="78">
        <v>1</v>
      </c>
      <c r="I78" s="34">
        <v>1</v>
      </c>
      <c r="J78" s="34">
        <v>24</v>
      </c>
      <c r="K78" s="38">
        <v>468.02167182357016</v>
      </c>
      <c r="L78" s="80">
        <f t="shared" ref="L78:L79" si="44">F78*H78*J78*K78</f>
        <v>11232.520123765684</v>
      </c>
      <c r="M78" s="38">
        <f t="shared" ref="M78:Q79" si="45">$L78/5</f>
        <v>2246.5040247531369</v>
      </c>
      <c r="N78" s="38">
        <f t="shared" si="45"/>
        <v>2246.5040247531369</v>
      </c>
      <c r="O78" s="38">
        <f t="shared" si="45"/>
        <v>2246.5040247531369</v>
      </c>
      <c r="P78" s="38">
        <f t="shared" si="45"/>
        <v>2246.5040247531369</v>
      </c>
      <c r="Q78" s="38">
        <f t="shared" si="45"/>
        <v>2246.5040247531369</v>
      </c>
      <c r="R78" s="38">
        <v>5616.2600618828419</v>
      </c>
      <c r="S78" s="38">
        <v>5616.2600618828419</v>
      </c>
    </row>
    <row r="79" spans="1:19" ht="15" customHeight="1">
      <c r="A79" s="31"/>
      <c r="B79" s="125"/>
      <c r="C79" s="240" t="str">
        <f>+IFERROR(VLOOKUP($B79, 'Services to Beneficiaries'!$B$7:$C$17, 2, 0), " ")</f>
        <v xml:space="preserve"> </v>
      </c>
      <c r="D79" s="32" t="s">
        <v>226</v>
      </c>
      <c r="E79" s="34" t="s">
        <v>581</v>
      </c>
      <c r="F79" s="34">
        <v>1</v>
      </c>
      <c r="G79" s="34" t="s">
        <v>165</v>
      </c>
      <c r="H79" s="78">
        <v>1</v>
      </c>
      <c r="I79" s="34">
        <v>1</v>
      </c>
      <c r="J79" s="79">
        <v>1</v>
      </c>
      <c r="K79" s="38">
        <v>2617.2264542765438</v>
      </c>
      <c r="L79" s="80">
        <f t="shared" si="44"/>
        <v>2617.2264542765438</v>
      </c>
      <c r="M79" s="38">
        <f t="shared" si="45"/>
        <v>523.44529085530871</v>
      </c>
      <c r="N79" s="38">
        <f t="shared" si="45"/>
        <v>523.44529085530871</v>
      </c>
      <c r="O79" s="38">
        <f t="shared" si="45"/>
        <v>523.44529085530871</v>
      </c>
      <c r="P79" s="38">
        <f t="shared" si="45"/>
        <v>523.44529085530871</v>
      </c>
      <c r="Q79" s="38">
        <f t="shared" si="45"/>
        <v>523.44529085530871</v>
      </c>
      <c r="R79" s="38">
        <v>1308.6132271382719</v>
      </c>
      <c r="S79" s="38">
        <v>1308.6132271382719</v>
      </c>
    </row>
    <row r="80" spans="1:19" ht="30.75" customHeight="1">
      <c r="A80" s="31"/>
      <c r="B80" s="24"/>
      <c r="C80" s="239"/>
      <c r="D80" s="24" t="s">
        <v>231</v>
      </c>
      <c r="E80" s="25" t="s">
        <v>232</v>
      </c>
      <c r="F80" s="25"/>
      <c r="G80" s="25"/>
      <c r="H80" s="25"/>
      <c r="I80" s="25"/>
      <c r="J80" s="27"/>
      <c r="K80" s="30"/>
      <c r="L80" s="77">
        <f>SUM(L81,L82)</f>
        <v>19038.013137402202</v>
      </c>
      <c r="M80" s="77">
        <f t="shared" ref="M80:S80" si="46">SUM(M81,M82)</f>
        <v>3807.6026274804399</v>
      </c>
      <c r="N80" s="77">
        <f t="shared" si="46"/>
        <v>3807.6026274804399</v>
      </c>
      <c r="O80" s="77">
        <f t="shared" si="46"/>
        <v>3807.6026274804399</v>
      </c>
      <c r="P80" s="77">
        <f t="shared" si="46"/>
        <v>3807.6026274804399</v>
      </c>
      <c r="Q80" s="77">
        <f t="shared" si="46"/>
        <v>3807.6026274804399</v>
      </c>
      <c r="R80" s="77">
        <f t="shared" si="46"/>
        <v>9519.0065687011011</v>
      </c>
      <c r="S80" s="77">
        <f t="shared" si="46"/>
        <v>9519.0065687011011</v>
      </c>
    </row>
    <row r="81" spans="1:19" ht="15" customHeight="1">
      <c r="A81" s="5"/>
      <c r="B81" s="40"/>
      <c r="C81" s="241"/>
      <c r="D81" s="40" t="s">
        <v>233</v>
      </c>
      <c r="E81" s="40" t="s">
        <v>234</v>
      </c>
      <c r="F81" s="40"/>
      <c r="G81" s="40"/>
      <c r="H81" s="40"/>
      <c r="I81" s="40"/>
      <c r="J81" s="42"/>
      <c r="K81" s="44">
        <v>0</v>
      </c>
      <c r="L81" s="81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</row>
    <row r="82" spans="1:19" ht="15" customHeight="1">
      <c r="A82" s="31"/>
      <c r="B82" s="40"/>
      <c r="C82" s="241"/>
      <c r="D82" s="40" t="s">
        <v>236</v>
      </c>
      <c r="E82" s="40" t="s">
        <v>237</v>
      </c>
      <c r="F82" s="40"/>
      <c r="G82" s="40"/>
      <c r="H82" s="40"/>
      <c r="I82" s="40"/>
      <c r="J82" s="42"/>
      <c r="K82" s="44"/>
      <c r="L82" s="81">
        <f>SUM(L83:L84)</f>
        <v>19038.013137402202</v>
      </c>
      <c r="M82" s="81">
        <f t="shared" ref="M82:S82" si="47">SUM(M83:M84)</f>
        <v>3807.6026274804399</v>
      </c>
      <c r="N82" s="81">
        <f t="shared" si="47"/>
        <v>3807.6026274804399</v>
      </c>
      <c r="O82" s="81">
        <f t="shared" si="47"/>
        <v>3807.6026274804399</v>
      </c>
      <c r="P82" s="81">
        <f t="shared" si="47"/>
        <v>3807.6026274804399</v>
      </c>
      <c r="Q82" s="81">
        <f t="shared" si="47"/>
        <v>3807.6026274804399</v>
      </c>
      <c r="R82" s="81">
        <f t="shared" si="47"/>
        <v>9519.0065687011011</v>
      </c>
      <c r="S82" s="81">
        <f t="shared" si="47"/>
        <v>9519.0065687011011</v>
      </c>
    </row>
    <row r="83" spans="1:19" ht="15" customHeight="1">
      <c r="A83" s="31"/>
      <c r="B83" s="125"/>
      <c r="C83" s="240" t="str">
        <f>+IFERROR(VLOOKUP($B83, 'Services to Beneficiaries'!$B$7:$C$17, 2, 0), " ")</f>
        <v xml:space="preserve"> </v>
      </c>
      <c r="D83" s="32" t="s">
        <v>238</v>
      </c>
      <c r="E83" s="34" t="s">
        <v>582</v>
      </c>
      <c r="F83" s="34">
        <v>1</v>
      </c>
      <c r="G83" s="34" t="s">
        <v>165</v>
      </c>
      <c r="H83" s="78">
        <v>0.1</v>
      </c>
      <c r="I83" s="34" t="s">
        <v>96</v>
      </c>
      <c r="J83" s="79">
        <v>24</v>
      </c>
      <c r="K83" s="38">
        <v>4988.1257128564712</v>
      </c>
      <c r="L83" s="80">
        <f t="shared" ref="L83:L84" si="48">F83*H83*J83*K83</f>
        <v>11971.501710855533</v>
      </c>
      <c r="M83" s="38">
        <f t="shared" ref="M83:Q84" si="49">$L83/5</f>
        <v>2394.3003421711064</v>
      </c>
      <c r="N83" s="38">
        <f t="shared" si="49"/>
        <v>2394.3003421711064</v>
      </c>
      <c r="O83" s="38">
        <f t="shared" si="49"/>
        <v>2394.3003421711064</v>
      </c>
      <c r="P83" s="38">
        <f t="shared" si="49"/>
        <v>2394.3003421711064</v>
      </c>
      <c r="Q83" s="38">
        <f t="shared" si="49"/>
        <v>2394.3003421711064</v>
      </c>
      <c r="R83" s="38">
        <v>5985.7508554277665</v>
      </c>
      <c r="S83" s="38">
        <v>5985.7508554277665</v>
      </c>
    </row>
    <row r="84" spans="1:19" ht="15" customHeight="1">
      <c r="A84" s="5"/>
      <c r="B84" s="125"/>
      <c r="C84" s="240" t="str">
        <f>+IFERROR(VLOOKUP($B84, 'Services to Beneficiaries'!$B$7:$C$17, 2, 0), " ")</f>
        <v xml:space="preserve"> </v>
      </c>
      <c r="D84" s="32" t="s">
        <v>240</v>
      </c>
      <c r="E84" s="34" t="s">
        <v>583</v>
      </c>
      <c r="F84" s="34">
        <v>1</v>
      </c>
      <c r="G84" s="34" t="s">
        <v>165</v>
      </c>
      <c r="H84" s="78">
        <v>0.15</v>
      </c>
      <c r="I84" s="34" t="s">
        <v>96</v>
      </c>
      <c r="J84" s="79">
        <v>24</v>
      </c>
      <c r="K84" s="38">
        <v>1962.9198407074077</v>
      </c>
      <c r="L84" s="80">
        <f t="shared" si="48"/>
        <v>7066.5114265466673</v>
      </c>
      <c r="M84" s="38">
        <f t="shared" si="49"/>
        <v>1413.3022853093335</v>
      </c>
      <c r="N84" s="38">
        <f t="shared" si="49"/>
        <v>1413.3022853093335</v>
      </c>
      <c r="O84" s="38">
        <f t="shared" si="49"/>
        <v>1413.3022853093335</v>
      </c>
      <c r="P84" s="38">
        <f t="shared" si="49"/>
        <v>1413.3022853093335</v>
      </c>
      <c r="Q84" s="38">
        <f t="shared" si="49"/>
        <v>1413.3022853093335</v>
      </c>
      <c r="R84" s="38">
        <v>3533.2557132733336</v>
      </c>
      <c r="S84" s="38">
        <v>3533.2557132733336</v>
      </c>
    </row>
    <row r="85" spans="1:19" ht="30.75" customHeight="1">
      <c r="A85" s="9"/>
      <c r="B85" s="24"/>
      <c r="C85" s="239"/>
      <c r="D85" s="24" t="s">
        <v>250</v>
      </c>
      <c r="E85" s="25" t="s">
        <v>251</v>
      </c>
      <c r="F85" s="25"/>
      <c r="G85" s="25"/>
      <c r="H85" s="25"/>
      <c r="I85" s="25"/>
      <c r="J85" s="27"/>
      <c r="K85" s="30"/>
      <c r="L85" s="77">
        <f>SUM(L86,L87)</f>
        <v>7264.1890010932038</v>
      </c>
      <c r="M85" s="77">
        <f t="shared" ref="M85:S85" si="50">SUM(M86,M87)</f>
        <v>1452.8378002186407</v>
      </c>
      <c r="N85" s="77">
        <f t="shared" si="50"/>
        <v>1452.8378002186407</v>
      </c>
      <c r="O85" s="77">
        <f t="shared" si="50"/>
        <v>1452.8378002186407</v>
      </c>
      <c r="P85" s="77">
        <f t="shared" si="50"/>
        <v>1452.8378002186407</v>
      </c>
      <c r="Q85" s="77">
        <f t="shared" si="50"/>
        <v>1452.8378002186407</v>
      </c>
      <c r="R85" s="77">
        <f t="shared" si="50"/>
        <v>3632.0945005466019</v>
      </c>
      <c r="S85" s="77">
        <f t="shared" si="50"/>
        <v>3632.0945005466019</v>
      </c>
    </row>
    <row r="86" spans="1:19" ht="15" customHeight="1">
      <c r="A86" s="9"/>
      <c r="B86" s="125"/>
      <c r="C86" s="240" t="str">
        <f>+IFERROR(VLOOKUP($B86, 'Services to Beneficiaries'!$B$7:$C$17, 2, 0), " ")</f>
        <v xml:space="preserve"> </v>
      </c>
      <c r="D86" s="32" t="s">
        <v>252</v>
      </c>
      <c r="E86" s="34" t="s">
        <v>584</v>
      </c>
      <c r="F86" s="34">
        <v>1</v>
      </c>
      <c r="G86" s="34" t="s">
        <v>165</v>
      </c>
      <c r="H86" s="78">
        <v>0.05</v>
      </c>
      <c r="I86" s="34" t="s">
        <v>96</v>
      </c>
      <c r="J86" s="79">
        <v>24</v>
      </c>
      <c r="K86" s="38">
        <v>5773.2936491394348</v>
      </c>
      <c r="L86" s="80">
        <f t="shared" ref="L86:L87" si="51">F86*H86*J86*K86</f>
        <v>6927.9523789673231</v>
      </c>
      <c r="M86" s="38">
        <f t="shared" ref="M86:Q87" si="52">$L86/5</f>
        <v>1385.5904757934645</v>
      </c>
      <c r="N86" s="38">
        <f t="shared" si="52"/>
        <v>1385.5904757934645</v>
      </c>
      <c r="O86" s="38">
        <f t="shared" si="52"/>
        <v>1385.5904757934645</v>
      </c>
      <c r="P86" s="38">
        <f t="shared" si="52"/>
        <v>1385.5904757934645</v>
      </c>
      <c r="Q86" s="38">
        <f t="shared" si="52"/>
        <v>1385.5904757934645</v>
      </c>
      <c r="R86" s="38">
        <v>3463.9761894836615</v>
      </c>
      <c r="S86" s="38">
        <v>3463.9761894836615</v>
      </c>
    </row>
    <row r="87" spans="1:19" ht="15" customHeight="1">
      <c r="A87" s="31"/>
      <c r="B87" s="125"/>
      <c r="C87" s="240" t="str">
        <f>+IFERROR(VLOOKUP($B87, 'Services to Beneficiaries'!$B$7:$C$17, 2, 0), " ")</f>
        <v xml:space="preserve"> </v>
      </c>
      <c r="D87" s="32" t="s">
        <v>400</v>
      </c>
      <c r="E87" s="34" t="s">
        <v>585</v>
      </c>
      <c r="F87" s="34">
        <v>1</v>
      </c>
      <c r="G87" s="34" t="s">
        <v>165</v>
      </c>
      <c r="H87" s="78">
        <v>0.26</v>
      </c>
      <c r="I87" s="34" t="s">
        <v>96</v>
      </c>
      <c r="J87" s="79">
        <v>24</v>
      </c>
      <c r="K87" s="38">
        <v>53.884074058634724</v>
      </c>
      <c r="L87" s="80">
        <f t="shared" si="51"/>
        <v>336.23662212588067</v>
      </c>
      <c r="M87" s="38">
        <f t="shared" si="52"/>
        <v>67.247324425176132</v>
      </c>
      <c r="N87" s="38">
        <f t="shared" si="52"/>
        <v>67.247324425176132</v>
      </c>
      <c r="O87" s="38">
        <f t="shared" si="52"/>
        <v>67.247324425176132</v>
      </c>
      <c r="P87" s="38">
        <f t="shared" si="52"/>
        <v>67.247324425176132</v>
      </c>
      <c r="Q87" s="38">
        <f t="shared" si="52"/>
        <v>67.247324425176132</v>
      </c>
      <c r="R87" s="38">
        <v>168.11831106294034</v>
      </c>
      <c r="S87" s="38">
        <v>168.11831106294034</v>
      </c>
    </row>
    <row r="88" spans="1:19" ht="45" customHeight="1">
      <c r="A88" s="31"/>
      <c r="B88" s="6"/>
      <c r="C88" s="238"/>
      <c r="D88" s="6" t="s">
        <v>253</v>
      </c>
      <c r="E88" s="7" t="s">
        <v>254</v>
      </c>
      <c r="F88" s="7"/>
      <c r="G88" s="7"/>
      <c r="H88" s="7"/>
      <c r="I88" s="7"/>
      <c r="J88" s="21"/>
      <c r="K88" s="8"/>
      <c r="L88" s="76">
        <f>SUM(L89,L90)</f>
        <v>18100.468890755794</v>
      </c>
      <c r="M88" s="76">
        <f t="shared" ref="M88:S88" si="53">SUM(M89,M90)</f>
        <v>3620.0937781511593</v>
      </c>
      <c r="N88" s="76">
        <f t="shared" si="53"/>
        <v>3620.0937781511593</v>
      </c>
      <c r="O88" s="76">
        <f t="shared" si="53"/>
        <v>3620.0937781511593</v>
      </c>
      <c r="P88" s="76">
        <f t="shared" si="53"/>
        <v>3620.0937781511593</v>
      </c>
      <c r="Q88" s="76">
        <f t="shared" si="53"/>
        <v>3620.0937781511593</v>
      </c>
      <c r="R88" s="76">
        <f t="shared" si="53"/>
        <v>0</v>
      </c>
      <c r="S88" s="76">
        <f t="shared" si="53"/>
        <v>19522.269838623095</v>
      </c>
    </row>
    <row r="89" spans="1:19" ht="15" customHeight="1">
      <c r="A89" s="31"/>
      <c r="B89" s="125"/>
      <c r="C89" s="240" t="str">
        <f>+IFERROR(VLOOKUP($B89, 'Services to Beneficiaries'!$B$7:$C$17, 2, 0), " ")</f>
        <v xml:space="preserve"> </v>
      </c>
      <c r="D89" s="32" t="s">
        <v>255</v>
      </c>
      <c r="E89" s="34" t="s">
        <v>256</v>
      </c>
      <c r="F89" s="34">
        <v>1</v>
      </c>
      <c r="G89" s="34" t="s">
        <v>165</v>
      </c>
      <c r="H89" s="34">
        <v>1</v>
      </c>
      <c r="I89" s="34"/>
      <c r="J89" s="79">
        <v>1</v>
      </c>
      <c r="K89" s="38">
        <v>8863.1990521327007</v>
      </c>
      <c r="L89" s="80">
        <f t="shared" ref="L89:L90" si="54">F89*H89*J89*K89</f>
        <v>8863.1990521327007</v>
      </c>
      <c r="M89" s="38">
        <f t="shared" ref="M89:Q90" si="55">$L89/5</f>
        <v>1772.6398104265402</v>
      </c>
      <c r="N89" s="38">
        <f t="shared" si="55"/>
        <v>1772.6398104265402</v>
      </c>
      <c r="O89" s="38">
        <f t="shared" si="55"/>
        <v>1772.6398104265402</v>
      </c>
      <c r="P89" s="38">
        <f t="shared" si="55"/>
        <v>1772.6398104265402</v>
      </c>
      <c r="Q89" s="38">
        <f t="shared" si="55"/>
        <v>1772.6398104265402</v>
      </c>
      <c r="R89" s="38"/>
      <c r="S89" s="38">
        <v>10285</v>
      </c>
    </row>
    <row r="90" spans="1:19" ht="15" customHeight="1">
      <c r="A90" s="31"/>
      <c r="B90" s="125"/>
      <c r="C90" s="240" t="str">
        <f>+IFERROR(VLOOKUP($B90, 'Services to Beneficiaries'!$B$7:$C$17, 2, 0), " ")</f>
        <v xml:space="preserve"> </v>
      </c>
      <c r="D90" s="32" t="s">
        <v>258</v>
      </c>
      <c r="E90" s="34" t="s">
        <v>586</v>
      </c>
      <c r="F90" s="34">
        <v>1</v>
      </c>
      <c r="G90" s="34" t="s">
        <v>165</v>
      </c>
      <c r="H90" s="34">
        <v>1</v>
      </c>
      <c r="I90" s="34"/>
      <c r="J90" s="79">
        <v>1</v>
      </c>
      <c r="K90" s="38">
        <v>9237.269838623095</v>
      </c>
      <c r="L90" s="80">
        <f t="shared" si="54"/>
        <v>9237.269838623095</v>
      </c>
      <c r="M90" s="38">
        <f t="shared" si="55"/>
        <v>1847.4539677246189</v>
      </c>
      <c r="N90" s="38">
        <f t="shared" si="55"/>
        <v>1847.4539677246189</v>
      </c>
      <c r="O90" s="38">
        <f t="shared" si="55"/>
        <v>1847.4539677246189</v>
      </c>
      <c r="P90" s="38">
        <f t="shared" si="55"/>
        <v>1847.4539677246189</v>
      </c>
      <c r="Q90" s="38">
        <f t="shared" si="55"/>
        <v>1847.4539677246189</v>
      </c>
      <c r="R90" s="38"/>
      <c r="S90" s="38">
        <v>9237.269838623095</v>
      </c>
    </row>
    <row r="91" spans="1:19" ht="45" customHeight="1">
      <c r="A91" s="9"/>
      <c r="B91" s="6"/>
      <c r="C91" s="238"/>
      <c r="D91" s="6" t="s">
        <v>261</v>
      </c>
      <c r="E91" s="7" t="s">
        <v>262</v>
      </c>
      <c r="F91" s="7"/>
      <c r="G91" s="7"/>
      <c r="H91" s="7"/>
      <c r="I91" s="7"/>
      <c r="J91" s="21"/>
      <c r="K91" s="8"/>
      <c r="L91" s="76">
        <f>SUM(L93,L98,L103,L108,L114,L117)</f>
        <v>748953.90805724426</v>
      </c>
      <c r="M91" s="76">
        <f>SUM(M93,M98,M103,M108,M114,M117)</f>
        <v>98223.585102014811</v>
      </c>
      <c r="N91" s="76">
        <f t="shared" ref="N91:R91" si="56">SUM(N93,N98,N103,N108,N114,N117)</f>
        <v>404997.65795951203</v>
      </c>
      <c r="O91" s="76">
        <f t="shared" si="56"/>
        <v>169002.39476374522</v>
      </c>
      <c r="P91" s="76">
        <f t="shared" si="56"/>
        <v>12469.544509654628</v>
      </c>
      <c r="Q91" s="76">
        <f t="shared" si="56"/>
        <v>64260.725722317598</v>
      </c>
      <c r="R91" s="76">
        <f t="shared" si="56"/>
        <v>433984.58020390483</v>
      </c>
      <c r="S91" s="76">
        <f>SUM(S93,S98,S103,S108,S114,S117)</f>
        <v>314969.32785333949</v>
      </c>
    </row>
    <row r="92" spans="1:19" ht="15" customHeight="1">
      <c r="A92" s="9"/>
      <c r="B92" s="86"/>
      <c r="C92" s="243"/>
      <c r="D92" s="86"/>
      <c r="E92" s="265"/>
      <c r="F92" s="265"/>
      <c r="G92" s="265"/>
      <c r="H92" s="265"/>
      <c r="I92" s="265"/>
      <c r="J92" s="265"/>
      <c r="K92" s="87"/>
      <c r="L92" s="88"/>
      <c r="M92" s="87"/>
      <c r="N92" s="87"/>
      <c r="O92" s="87"/>
      <c r="P92" s="87"/>
      <c r="Q92" s="87"/>
      <c r="R92" s="87"/>
      <c r="S92" s="87"/>
    </row>
    <row r="93" spans="1:19" ht="30.75" customHeight="1">
      <c r="A93" s="9"/>
      <c r="B93" s="24"/>
      <c r="C93" s="239"/>
      <c r="D93" s="24" t="s">
        <v>263</v>
      </c>
      <c r="E93" s="25" t="s">
        <v>264</v>
      </c>
      <c r="F93" s="25"/>
      <c r="G93" s="25"/>
      <c r="H93" s="25"/>
      <c r="I93" s="25"/>
      <c r="J93" s="27"/>
      <c r="K93" s="30"/>
      <c r="L93" s="77">
        <f>SUM(L94:L97)</f>
        <v>21553.62962345389</v>
      </c>
      <c r="M93" s="77">
        <f t="shared" ref="M93:S93" si="57">SUM(M94:M97)</f>
        <v>4310.7259246907779</v>
      </c>
      <c r="N93" s="77">
        <f t="shared" si="57"/>
        <v>4310.7259246907779</v>
      </c>
      <c r="O93" s="77">
        <f t="shared" si="57"/>
        <v>4310.7259246907779</v>
      </c>
      <c r="P93" s="77">
        <f t="shared" si="57"/>
        <v>4310.7259246907779</v>
      </c>
      <c r="Q93" s="77">
        <f t="shared" si="57"/>
        <v>4310.7259246907779</v>
      </c>
      <c r="R93" s="77">
        <f t="shared" si="57"/>
        <v>14240.791001210606</v>
      </c>
      <c r="S93" s="77">
        <f t="shared" si="57"/>
        <v>7312.8386222432837</v>
      </c>
    </row>
    <row r="94" spans="1:19" ht="15" customHeight="1">
      <c r="A94" s="31"/>
      <c r="B94" s="125"/>
      <c r="C94" s="240" t="str">
        <f>+IFERROR(VLOOKUP($B94, 'Services to Beneficiaries'!$B$7:$C$17, 2, 0), " ")</f>
        <v xml:space="preserve"> </v>
      </c>
      <c r="D94" s="32" t="s">
        <v>265</v>
      </c>
      <c r="E94" s="34" t="s">
        <v>587</v>
      </c>
      <c r="F94" s="34">
        <v>1</v>
      </c>
      <c r="G94" s="34" t="s">
        <v>165</v>
      </c>
      <c r="H94" s="34">
        <v>1</v>
      </c>
      <c r="I94" s="34"/>
      <c r="J94" s="79">
        <v>1</v>
      </c>
      <c r="K94" s="38">
        <v>2309.3174596557737</v>
      </c>
      <c r="L94" s="80">
        <f t="shared" ref="L94:L97" si="58">F94*H94*J94*K94</f>
        <v>2309.3174596557737</v>
      </c>
      <c r="M94" s="38">
        <f t="shared" ref="M94:Q97" si="59">$L94/5</f>
        <v>461.86349193115473</v>
      </c>
      <c r="N94" s="38">
        <f t="shared" si="59"/>
        <v>461.86349193115473</v>
      </c>
      <c r="O94" s="38">
        <f t="shared" si="59"/>
        <v>461.86349193115473</v>
      </c>
      <c r="P94" s="38">
        <f t="shared" si="59"/>
        <v>461.86349193115473</v>
      </c>
      <c r="Q94" s="38">
        <f t="shared" si="59"/>
        <v>461.86349193115473</v>
      </c>
      <c r="R94" s="38">
        <v>2309.3174596557737</v>
      </c>
      <c r="S94" s="38"/>
    </row>
    <row r="95" spans="1:19" ht="15" customHeight="1">
      <c r="A95" s="31"/>
      <c r="B95" s="125"/>
      <c r="C95" s="240" t="str">
        <f>+IFERROR(VLOOKUP($B95, 'Services to Beneficiaries'!$B$7:$C$17, 2, 0), " ")</f>
        <v xml:space="preserve"> </v>
      </c>
      <c r="D95" s="32" t="s">
        <v>268</v>
      </c>
      <c r="E95" s="34" t="s">
        <v>588</v>
      </c>
      <c r="F95" s="34">
        <v>1</v>
      </c>
      <c r="G95" s="34" t="s">
        <v>165</v>
      </c>
      <c r="H95" s="78">
        <v>1</v>
      </c>
      <c r="I95" s="34">
        <v>1</v>
      </c>
      <c r="J95" s="79">
        <v>2</v>
      </c>
      <c r="K95" s="38">
        <v>5003.5211625875099</v>
      </c>
      <c r="L95" s="80">
        <f t="shared" si="58"/>
        <v>10007.04232517502</v>
      </c>
      <c r="M95" s="38">
        <f t="shared" si="59"/>
        <v>2001.4084650350039</v>
      </c>
      <c r="N95" s="38">
        <f t="shared" si="59"/>
        <v>2001.4084650350039</v>
      </c>
      <c r="O95" s="38">
        <f t="shared" si="59"/>
        <v>2001.4084650350039</v>
      </c>
      <c r="P95" s="38">
        <f t="shared" si="59"/>
        <v>2001.4084650350039</v>
      </c>
      <c r="Q95" s="38">
        <f t="shared" si="59"/>
        <v>2001.4084650350039</v>
      </c>
      <c r="R95" s="38">
        <v>5003.5211625875099</v>
      </c>
      <c r="S95" s="38">
        <v>5003.5211625875099</v>
      </c>
    </row>
    <row r="96" spans="1:19" ht="15" customHeight="1">
      <c r="A96" s="31"/>
      <c r="B96" s="125"/>
      <c r="C96" s="240" t="str">
        <f>+IFERROR(VLOOKUP($B96, 'Services to Beneficiaries'!$B$7:$C$17, 2, 0), " ")</f>
        <v xml:space="preserve"> </v>
      </c>
      <c r="D96" s="32" t="s">
        <v>271</v>
      </c>
      <c r="E96" s="200" t="s">
        <v>589</v>
      </c>
      <c r="F96" s="34">
        <v>1</v>
      </c>
      <c r="G96" s="34" t="s">
        <v>165</v>
      </c>
      <c r="H96" s="78">
        <v>1</v>
      </c>
      <c r="I96" s="34">
        <v>1</v>
      </c>
      <c r="J96" s="79">
        <v>2</v>
      </c>
      <c r="K96" s="38">
        <v>2309.3174596557737</v>
      </c>
      <c r="L96" s="80">
        <f t="shared" si="58"/>
        <v>4618.6349193115475</v>
      </c>
      <c r="M96" s="38">
        <f t="shared" si="59"/>
        <v>923.72698386230945</v>
      </c>
      <c r="N96" s="38">
        <f t="shared" si="59"/>
        <v>923.72698386230945</v>
      </c>
      <c r="O96" s="38">
        <f t="shared" si="59"/>
        <v>923.72698386230945</v>
      </c>
      <c r="P96" s="38">
        <f t="shared" si="59"/>
        <v>923.72698386230945</v>
      </c>
      <c r="Q96" s="38">
        <f t="shared" si="59"/>
        <v>923.72698386230945</v>
      </c>
      <c r="R96" s="38">
        <v>2309.3174596557737</v>
      </c>
      <c r="S96" s="38">
        <v>2309.3174596557737</v>
      </c>
    </row>
    <row r="97" spans="1:19" ht="15" customHeight="1">
      <c r="A97" s="9"/>
      <c r="B97" s="125"/>
      <c r="C97" s="240" t="str">
        <f>+IFERROR(VLOOKUP($B97, 'Services to Beneficiaries'!$B$7:$C$17, 2, 0), " ")</f>
        <v xml:space="preserve"> </v>
      </c>
      <c r="D97" s="32" t="s">
        <v>273</v>
      </c>
      <c r="E97" s="34" t="s">
        <v>590</v>
      </c>
      <c r="F97" s="34">
        <v>1</v>
      </c>
      <c r="G97" s="34" t="s">
        <v>165</v>
      </c>
      <c r="H97" s="34">
        <v>1</v>
      </c>
      <c r="I97" s="34"/>
      <c r="J97" s="79">
        <v>1</v>
      </c>
      <c r="K97" s="38">
        <v>4618.6349193115475</v>
      </c>
      <c r="L97" s="80">
        <f t="shared" si="58"/>
        <v>4618.6349193115475</v>
      </c>
      <c r="M97" s="38">
        <f t="shared" si="59"/>
        <v>923.72698386230945</v>
      </c>
      <c r="N97" s="38">
        <f t="shared" si="59"/>
        <v>923.72698386230945</v>
      </c>
      <c r="O97" s="38">
        <f t="shared" si="59"/>
        <v>923.72698386230945</v>
      </c>
      <c r="P97" s="38">
        <f t="shared" si="59"/>
        <v>923.72698386230945</v>
      </c>
      <c r="Q97" s="38">
        <f t="shared" si="59"/>
        <v>923.72698386230945</v>
      </c>
      <c r="R97" s="38">
        <v>4618.6349193115475</v>
      </c>
      <c r="S97" s="38"/>
    </row>
    <row r="98" spans="1:19" ht="30.75" customHeight="1">
      <c r="A98" s="9"/>
      <c r="B98" s="24"/>
      <c r="C98" s="239"/>
      <c r="D98" s="24" t="s">
        <v>49</v>
      </c>
      <c r="E98" s="25" t="s">
        <v>525</v>
      </c>
      <c r="F98" s="25"/>
      <c r="G98" s="25"/>
      <c r="H98" s="25"/>
      <c r="I98" s="25"/>
      <c r="J98" s="27"/>
      <c r="K98" s="30"/>
      <c r="L98" s="77">
        <f>SUM(L99,L100,L101,L102)</f>
        <v>93912.859177324033</v>
      </c>
      <c r="M98" s="77">
        <f t="shared" ref="M98:S98" si="60">SUM(M99,M100,M101,M102)</f>
        <v>93912.859177324033</v>
      </c>
      <c r="N98" s="77">
        <f t="shared" si="60"/>
        <v>0</v>
      </c>
      <c r="O98" s="77">
        <f t="shared" si="60"/>
        <v>0</v>
      </c>
      <c r="P98" s="77">
        <f t="shared" si="60"/>
        <v>0</v>
      </c>
      <c r="Q98" s="77">
        <f t="shared" si="60"/>
        <v>0</v>
      </c>
      <c r="R98" s="77">
        <f t="shared" si="60"/>
        <v>67068.121390306842</v>
      </c>
      <c r="S98" s="77">
        <f t="shared" si="60"/>
        <v>26844.737787017195</v>
      </c>
    </row>
    <row r="99" spans="1:19" s="39" customFormat="1" ht="29.25" customHeight="1">
      <c r="B99" s="40" t="s">
        <v>14</v>
      </c>
      <c r="C99" s="241" t="str">
        <f>+IFERROR(VLOOKUP($B99, 'Services to Beneficiaries'!$B$7:$C$17, 2, 0), " ")</f>
        <v>Protection    </v>
      </c>
      <c r="D99" s="40" t="s">
        <v>279</v>
      </c>
      <c r="E99" s="254" t="s">
        <v>526</v>
      </c>
      <c r="F99" s="255"/>
      <c r="G99" s="255"/>
      <c r="H99" s="255"/>
      <c r="I99" s="255"/>
      <c r="J99" s="255"/>
      <c r="K99" s="256"/>
      <c r="L99" s="43">
        <v>4770.126144664966</v>
      </c>
      <c r="M99" s="44">
        <f>$L99</f>
        <v>4770.126144664966</v>
      </c>
      <c r="N99" s="44">
        <v>0</v>
      </c>
      <c r="O99" s="44">
        <v>0</v>
      </c>
      <c r="P99" s="44">
        <v>0</v>
      </c>
      <c r="Q99" s="44">
        <v>0</v>
      </c>
      <c r="R99" s="44">
        <v>4770.126144664966</v>
      </c>
      <c r="S99" s="44">
        <v>0</v>
      </c>
    </row>
    <row r="100" spans="1:19" s="39" customFormat="1" ht="29.25" customHeight="1">
      <c r="B100" s="40" t="s">
        <v>14</v>
      </c>
      <c r="C100" s="241" t="str">
        <f>+IFERROR(VLOOKUP($B100, 'Services to Beneficiaries'!$B$7:$C$17, 2, 0), " ")</f>
        <v>Protection    </v>
      </c>
      <c r="D100" s="40" t="s">
        <v>281</v>
      </c>
      <c r="E100" s="254" t="s">
        <v>527</v>
      </c>
      <c r="F100" s="255"/>
      <c r="G100" s="255"/>
      <c r="H100" s="255"/>
      <c r="I100" s="255"/>
      <c r="J100" s="255"/>
      <c r="K100" s="256"/>
      <c r="L100" s="43">
        <v>29295.077566209286</v>
      </c>
      <c r="M100" s="44">
        <f t="shared" ref="M100:M102" si="61">$L100</f>
        <v>29295.077566209286</v>
      </c>
      <c r="N100" s="44">
        <v>0</v>
      </c>
      <c r="O100" s="44">
        <v>0</v>
      </c>
      <c r="P100" s="44">
        <v>0</v>
      </c>
      <c r="Q100" s="44">
        <v>0</v>
      </c>
      <c r="R100" s="44">
        <v>29295.077566209286</v>
      </c>
      <c r="S100" s="44">
        <v>0</v>
      </c>
    </row>
    <row r="101" spans="1:19" s="39" customFormat="1" ht="29.25" customHeight="1">
      <c r="B101" s="40" t="s">
        <v>14</v>
      </c>
      <c r="C101" s="241" t="str">
        <f>+IFERROR(VLOOKUP($B101, 'Services to Beneficiaries'!$B$7:$C$17, 2, 0), " ")</f>
        <v>Protection    </v>
      </c>
      <c r="D101" s="40" t="s">
        <v>283</v>
      </c>
      <c r="E101" s="254" t="s">
        <v>528</v>
      </c>
      <c r="F101" s="255"/>
      <c r="G101" s="255"/>
      <c r="H101" s="255"/>
      <c r="I101" s="255"/>
      <c r="J101" s="255"/>
      <c r="K101" s="256"/>
      <c r="L101" s="43">
        <v>53689.47557403439</v>
      </c>
      <c r="M101" s="44">
        <f t="shared" si="61"/>
        <v>53689.47557403439</v>
      </c>
      <c r="N101" s="44">
        <v>0</v>
      </c>
      <c r="O101" s="44">
        <v>0</v>
      </c>
      <c r="P101" s="44">
        <v>0</v>
      </c>
      <c r="Q101" s="44">
        <v>0</v>
      </c>
      <c r="R101" s="44">
        <v>26844.737787017195</v>
      </c>
      <c r="S101" s="44">
        <v>26844.737787017195</v>
      </c>
    </row>
    <row r="102" spans="1:19" s="39" customFormat="1" ht="29.25" customHeight="1">
      <c r="B102" s="40" t="s">
        <v>14</v>
      </c>
      <c r="C102" s="241" t="str">
        <f>+IFERROR(VLOOKUP($B102, 'Services to Beneficiaries'!$B$7:$C$17, 2, 0), " ")</f>
        <v>Protection    </v>
      </c>
      <c r="D102" s="40" t="s">
        <v>287</v>
      </c>
      <c r="E102" s="296" t="s">
        <v>530</v>
      </c>
      <c r="F102" s="297"/>
      <c r="G102" s="297"/>
      <c r="H102" s="297"/>
      <c r="I102" s="297"/>
      <c r="J102" s="297"/>
      <c r="K102" s="205"/>
      <c r="L102" s="43">
        <v>6158.1798924153973</v>
      </c>
      <c r="M102" s="44">
        <f t="shared" si="61"/>
        <v>6158.1798924153973</v>
      </c>
      <c r="N102" s="44">
        <v>0</v>
      </c>
      <c r="O102" s="44">
        <v>0</v>
      </c>
      <c r="P102" s="44">
        <v>0</v>
      </c>
      <c r="Q102" s="44">
        <v>0</v>
      </c>
      <c r="R102" s="44">
        <v>6158.1798924153973</v>
      </c>
      <c r="S102" s="44">
        <v>0</v>
      </c>
    </row>
    <row r="103" spans="1:19" ht="30" customHeight="1">
      <c r="A103" s="31"/>
      <c r="B103" s="24"/>
      <c r="C103" s="239"/>
      <c r="D103" s="24" t="s">
        <v>50</v>
      </c>
      <c r="E103" s="25" t="s">
        <v>531</v>
      </c>
      <c r="F103" s="25"/>
      <c r="G103" s="25"/>
      <c r="H103" s="25"/>
      <c r="I103" s="25"/>
      <c r="J103" s="27"/>
      <c r="K103" s="30"/>
      <c r="L103" s="77">
        <f>SUM(L104,L105,L106,L107)</f>
        <v>400686.93203482125</v>
      </c>
      <c r="M103" s="77">
        <f t="shared" ref="M103" si="62">SUM(M104,M105,M106,M107)</f>
        <v>0</v>
      </c>
      <c r="N103" s="77">
        <f t="shared" ref="N103" si="63">SUM(N104,N105,N106,N107)</f>
        <v>400686.93203482125</v>
      </c>
      <c r="O103" s="30">
        <f t="shared" ref="O103" si="64">SUM(O104,O105,O106,O107)</f>
        <v>0</v>
      </c>
      <c r="P103" s="30">
        <f t="shared" ref="P103" si="65">SUM(P104,P105,P106,P107)</f>
        <v>0</v>
      </c>
      <c r="Q103" s="30">
        <f t="shared" ref="Q103" si="66">SUM(Q104,Q105,Q106,Q107)</f>
        <v>0</v>
      </c>
      <c r="R103" s="30">
        <f t="shared" ref="R103" si="67">SUM(R104,R105,R106,R107)</f>
        <v>200343.46601741062</v>
      </c>
      <c r="S103" s="30">
        <f t="shared" ref="S103" si="68">SUM(S104,S105,S106,S107)</f>
        <v>200343.46601741062</v>
      </c>
    </row>
    <row r="104" spans="1:19" s="39" customFormat="1" ht="29.25" customHeight="1">
      <c r="B104" s="40" t="s">
        <v>22</v>
      </c>
      <c r="C104" s="241" t="str">
        <f>+IFERROR(VLOOKUP($B104, 'Services to Beneficiaries'!$B$7:$C$17, 2, 0), " ")</f>
        <v xml:space="preserve">Planification, follow up and evaluation workshops related goods and services                                        </v>
      </c>
      <c r="D104" s="40" t="s">
        <v>290</v>
      </c>
      <c r="E104" s="254" t="s">
        <v>532</v>
      </c>
      <c r="F104" s="255"/>
      <c r="G104" s="255"/>
      <c r="H104" s="255"/>
      <c r="I104" s="255"/>
      <c r="J104" s="255"/>
      <c r="K104" s="256"/>
      <c r="L104" s="43">
        <v>0</v>
      </c>
      <c r="M104" s="44">
        <v>0</v>
      </c>
      <c r="N104" s="44">
        <f>$L104</f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</row>
    <row r="105" spans="1:19" s="39" customFormat="1" ht="29.25" customHeight="1">
      <c r="B105" s="40" t="s">
        <v>14</v>
      </c>
      <c r="C105" s="241" t="str">
        <f>+IFERROR(VLOOKUP($B105, 'Services to Beneficiaries'!$B$7:$C$17, 2, 0), " ")</f>
        <v>Protection    </v>
      </c>
      <c r="D105" s="40" t="s">
        <v>292</v>
      </c>
      <c r="E105" s="254" t="s">
        <v>533</v>
      </c>
      <c r="F105" s="255"/>
      <c r="G105" s="255"/>
      <c r="H105" s="255"/>
      <c r="I105" s="255"/>
      <c r="J105" s="255"/>
      <c r="K105" s="256"/>
      <c r="L105" s="43">
        <v>393912.93415316427</v>
      </c>
      <c r="M105" s="44">
        <v>0</v>
      </c>
      <c r="N105" s="44">
        <f t="shared" ref="N105:N107" si="69">$L105</f>
        <v>393912.93415316427</v>
      </c>
      <c r="O105" s="44">
        <v>0</v>
      </c>
      <c r="P105" s="44">
        <v>0</v>
      </c>
      <c r="Q105" s="44">
        <v>0</v>
      </c>
      <c r="R105" s="44">
        <v>196956.46707658214</v>
      </c>
      <c r="S105" s="44">
        <v>196956.46707658214</v>
      </c>
    </row>
    <row r="106" spans="1:19" s="39" customFormat="1" ht="29.25" customHeight="1">
      <c r="B106" s="40" t="s">
        <v>20</v>
      </c>
      <c r="C106" s="241" t="str">
        <f>+IFERROR(VLOOKUP($B106, 'Services to Beneficiaries'!$B$7:$C$17, 2, 0), " ")</f>
        <v xml:space="preserve">Cash for Work / Cash distribution program (vouchers) related goods and services                                                 </v>
      </c>
      <c r="D106" s="40" t="s">
        <v>294</v>
      </c>
      <c r="E106" s="254" t="s">
        <v>534</v>
      </c>
      <c r="F106" s="255"/>
      <c r="G106" s="255"/>
      <c r="H106" s="255"/>
      <c r="I106" s="255"/>
      <c r="J106" s="255"/>
      <c r="K106" s="256"/>
      <c r="L106" s="43">
        <v>6158.1798924153973</v>
      </c>
      <c r="M106" s="44">
        <v>0</v>
      </c>
      <c r="N106" s="44">
        <f t="shared" si="69"/>
        <v>6158.1798924153973</v>
      </c>
      <c r="O106" s="44">
        <v>0</v>
      </c>
      <c r="P106" s="44">
        <v>0</v>
      </c>
      <c r="Q106" s="44">
        <v>0</v>
      </c>
      <c r="R106" s="44">
        <v>3079.0899462076986</v>
      </c>
      <c r="S106" s="44">
        <v>3079.0899462076986</v>
      </c>
    </row>
    <row r="107" spans="1:19" s="39" customFormat="1" ht="29.25" customHeight="1">
      <c r="B107" s="40" t="s">
        <v>14</v>
      </c>
      <c r="C107" s="241" t="str">
        <f>+IFERROR(VLOOKUP($B107, 'Services to Beneficiaries'!$B$7:$C$17, 2, 0), " ")</f>
        <v>Protection    </v>
      </c>
      <c r="D107" s="40" t="s">
        <v>296</v>
      </c>
      <c r="E107" s="254" t="s">
        <v>535</v>
      </c>
      <c r="F107" s="255"/>
      <c r="G107" s="255"/>
      <c r="H107" s="255"/>
      <c r="I107" s="255"/>
      <c r="J107" s="255"/>
      <c r="K107" s="256"/>
      <c r="L107" s="43">
        <v>615.81798924153964</v>
      </c>
      <c r="M107" s="44">
        <v>0</v>
      </c>
      <c r="N107" s="44">
        <f t="shared" si="69"/>
        <v>615.81798924153964</v>
      </c>
      <c r="O107" s="44">
        <v>0</v>
      </c>
      <c r="P107" s="44">
        <v>0</v>
      </c>
      <c r="Q107" s="44">
        <v>0</v>
      </c>
      <c r="R107" s="44">
        <v>307.90899462076982</v>
      </c>
      <c r="S107" s="44">
        <v>307.90899462076982</v>
      </c>
    </row>
    <row r="108" spans="1:19" ht="30" customHeight="1">
      <c r="A108" s="31"/>
      <c r="B108" s="24"/>
      <c r="C108" s="239"/>
      <c r="D108" s="24" t="s">
        <v>51</v>
      </c>
      <c r="E108" s="25" t="s">
        <v>536</v>
      </c>
      <c r="F108" s="25"/>
      <c r="G108" s="25"/>
      <c r="H108" s="25"/>
      <c r="I108" s="25"/>
      <c r="J108" s="27"/>
      <c r="K108" s="30"/>
      <c r="L108" s="77">
        <f>SUM(L109,L110,L111,L112,L113)</f>
        <v>164691.66883905444</v>
      </c>
      <c r="M108" s="77">
        <f t="shared" ref="M108:S108" si="70">SUM(M109,M110,M111,M112,M113)</f>
        <v>0</v>
      </c>
      <c r="N108" s="77">
        <f t="shared" si="70"/>
        <v>0</v>
      </c>
      <c r="O108" s="77">
        <f t="shared" si="70"/>
        <v>164691.66883905444</v>
      </c>
      <c r="P108" s="77">
        <f t="shared" si="70"/>
        <v>0</v>
      </c>
      <c r="Q108" s="77">
        <f t="shared" si="70"/>
        <v>0</v>
      </c>
      <c r="R108" s="77">
        <f t="shared" si="70"/>
        <v>146353.37889192798</v>
      </c>
      <c r="S108" s="77">
        <f t="shared" si="70"/>
        <v>18338.289947126497</v>
      </c>
    </row>
    <row r="109" spans="1:19" s="39" customFormat="1" ht="29.25" customHeight="1">
      <c r="B109" s="40" t="s">
        <v>22</v>
      </c>
      <c r="C109" s="241" t="str">
        <f>+IFERROR(VLOOKUP($B109, 'Services to Beneficiaries'!$B$7:$C$17, 2, 0), " ")</f>
        <v xml:space="preserve">Planification, follow up and evaluation workshops related goods and services                                        </v>
      </c>
      <c r="D109" s="40" t="s">
        <v>299</v>
      </c>
      <c r="E109" s="254" t="s">
        <v>537</v>
      </c>
      <c r="F109" s="255"/>
      <c r="G109" s="255"/>
      <c r="H109" s="255"/>
      <c r="I109" s="255"/>
      <c r="J109" s="255"/>
      <c r="K109" s="256"/>
      <c r="L109" s="43">
        <v>480.33803160840097</v>
      </c>
      <c r="M109" s="44">
        <v>0</v>
      </c>
      <c r="N109" s="44">
        <v>0</v>
      </c>
      <c r="O109" s="44">
        <f>$L109</f>
        <v>480.33803160840097</v>
      </c>
      <c r="P109" s="44">
        <v>0</v>
      </c>
      <c r="Q109" s="44">
        <v>0</v>
      </c>
      <c r="R109" s="44">
        <v>240.16901580420048</v>
      </c>
      <c r="S109" s="44">
        <v>240.16901580420048</v>
      </c>
    </row>
    <row r="110" spans="1:19" s="39" customFormat="1" ht="29.25" customHeight="1">
      <c r="B110" s="40" t="s">
        <v>14</v>
      </c>
      <c r="C110" s="241" t="str">
        <f>+IFERROR(VLOOKUP($B110, 'Services to Beneficiaries'!$B$7:$C$17, 2, 0), " ")</f>
        <v>Protection    </v>
      </c>
      <c r="D110" s="40" t="s">
        <v>301</v>
      </c>
      <c r="E110" s="254" t="s">
        <v>538</v>
      </c>
      <c r="F110" s="255"/>
      <c r="G110" s="255"/>
      <c r="H110" s="255"/>
      <c r="I110" s="255"/>
      <c r="J110" s="255"/>
      <c r="K110" s="256"/>
      <c r="L110" s="43">
        <v>1231.6359784830793</v>
      </c>
      <c r="M110" s="44">
        <v>0</v>
      </c>
      <c r="N110" s="44">
        <v>0</v>
      </c>
      <c r="O110" s="44">
        <f t="shared" ref="O110:O113" si="71">$L110</f>
        <v>1231.6359784830793</v>
      </c>
      <c r="P110" s="44">
        <v>0</v>
      </c>
      <c r="Q110" s="44">
        <v>0</v>
      </c>
      <c r="R110" s="44">
        <v>615.81798924153964</v>
      </c>
      <c r="S110" s="44">
        <v>615.81798924153964</v>
      </c>
    </row>
    <row r="111" spans="1:19" s="39" customFormat="1" ht="29.25" customHeight="1">
      <c r="B111" s="40" t="s">
        <v>24</v>
      </c>
      <c r="C111" s="241" t="str">
        <f>+IFERROR(VLOOKUP($B111, 'Services to Beneficiaries'!$B$7:$C$17, 2, 0), " ")</f>
        <v xml:space="preserve">Capacity building related goods and services                                 </v>
      </c>
      <c r="D111" s="40" t="s">
        <v>305</v>
      </c>
      <c r="E111" s="254" t="s">
        <v>540</v>
      </c>
      <c r="F111" s="255"/>
      <c r="G111" s="255"/>
      <c r="H111" s="255"/>
      <c r="I111" s="255"/>
      <c r="J111" s="255"/>
      <c r="K111" s="256"/>
      <c r="L111" s="43">
        <v>20454.394512657742</v>
      </c>
      <c r="M111" s="44">
        <v>0</v>
      </c>
      <c r="N111" s="44">
        <v>0</v>
      </c>
      <c r="O111" s="44">
        <f t="shared" si="71"/>
        <v>20454.394512657742</v>
      </c>
      <c r="P111" s="44">
        <v>0</v>
      </c>
      <c r="Q111" s="44">
        <v>0</v>
      </c>
      <c r="R111" s="44">
        <v>10227.197256328871</v>
      </c>
      <c r="S111" s="44">
        <v>10227.197256328871</v>
      </c>
    </row>
    <row r="112" spans="1:19" s="39" customFormat="1" ht="29.25" customHeight="1">
      <c r="B112" s="40" t="s">
        <v>14</v>
      </c>
      <c r="C112" s="241" t="str">
        <f>+IFERROR(VLOOKUP($B112, 'Services to Beneficiaries'!$B$7:$C$17, 2, 0), " ")</f>
        <v>Protection    </v>
      </c>
      <c r="D112" s="40" t="s">
        <v>307</v>
      </c>
      <c r="E112" s="254" t="s">
        <v>541</v>
      </c>
      <c r="F112" s="255"/>
      <c r="G112" s="255"/>
      <c r="H112" s="255"/>
      <c r="I112" s="255"/>
      <c r="J112" s="255"/>
      <c r="K112" s="256"/>
      <c r="L112" s="43">
        <v>138214.57439161444</v>
      </c>
      <c r="M112" s="44">
        <v>0</v>
      </c>
      <c r="N112" s="44">
        <v>0</v>
      </c>
      <c r="O112" s="44">
        <f t="shared" si="71"/>
        <v>138214.57439161444</v>
      </c>
      <c r="P112" s="44">
        <v>0</v>
      </c>
      <c r="Q112" s="44">
        <v>0</v>
      </c>
      <c r="R112" s="44">
        <v>133114.83166820797</v>
      </c>
      <c r="S112" s="44">
        <v>5099.7427234064999</v>
      </c>
    </row>
    <row r="113" spans="1:19" s="39" customFormat="1" ht="29.25" customHeight="1">
      <c r="B113" s="40" t="s">
        <v>26</v>
      </c>
      <c r="C113" s="241" t="str">
        <f>+IFERROR(VLOOKUP($B113, 'Services to Beneficiaries'!$B$7:$C$17, 2, 0), " ")</f>
        <v xml:space="preserve">Mainstreaming (gender, HIV/AIDS, sustainable development,  etc.) related goods and services                       </v>
      </c>
      <c r="D113" s="40" t="s">
        <v>309</v>
      </c>
      <c r="E113" s="254" t="s">
        <v>542</v>
      </c>
      <c r="F113" s="255"/>
      <c r="G113" s="255"/>
      <c r="H113" s="255"/>
      <c r="I113" s="255"/>
      <c r="J113" s="255"/>
      <c r="K113" s="256"/>
      <c r="L113" s="43">
        <v>4310.7259246907779</v>
      </c>
      <c r="M113" s="44">
        <v>0</v>
      </c>
      <c r="N113" s="44">
        <v>0</v>
      </c>
      <c r="O113" s="44">
        <f t="shared" si="71"/>
        <v>4310.7259246907779</v>
      </c>
      <c r="P113" s="44">
        <v>0</v>
      </c>
      <c r="Q113" s="44">
        <v>0</v>
      </c>
      <c r="R113" s="44">
        <v>2155.362962345389</v>
      </c>
      <c r="S113" s="44">
        <v>2155.362962345389</v>
      </c>
    </row>
    <row r="114" spans="1:19" ht="30" customHeight="1">
      <c r="A114" s="31"/>
      <c r="B114" s="24"/>
      <c r="C114" s="239"/>
      <c r="D114" s="24" t="s">
        <v>52</v>
      </c>
      <c r="E114" s="25" t="s">
        <v>543</v>
      </c>
      <c r="F114" s="25"/>
      <c r="G114" s="25"/>
      <c r="H114" s="25"/>
      <c r="I114" s="25"/>
      <c r="J114" s="27"/>
      <c r="K114" s="30"/>
      <c r="L114" s="77">
        <f>SUM(L115,L116)</f>
        <v>8158.8185849638494</v>
      </c>
      <c r="M114" s="77">
        <f t="shared" ref="M114:S114" si="72">SUM(M115,M116)</f>
        <v>0</v>
      </c>
      <c r="N114" s="77">
        <f t="shared" si="72"/>
        <v>0</v>
      </c>
      <c r="O114" s="77">
        <f t="shared" si="72"/>
        <v>0</v>
      </c>
      <c r="P114" s="77">
        <f t="shared" si="72"/>
        <v>8158.8185849638494</v>
      </c>
      <c r="Q114" s="77">
        <f t="shared" si="72"/>
        <v>0</v>
      </c>
      <c r="R114" s="77">
        <f t="shared" si="72"/>
        <v>5978.8229030487983</v>
      </c>
      <c r="S114" s="77">
        <f t="shared" si="72"/>
        <v>2179.9956819150507</v>
      </c>
    </row>
    <row r="115" spans="1:19" s="39" customFormat="1" ht="29.25" customHeight="1">
      <c r="B115" s="40"/>
      <c r="C115" s="241" t="str">
        <f>+IFERROR(VLOOKUP($B115, 'Services to Beneficiaries'!$B$7:$C$17, 2, 0), " ")</f>
        <v xml:space="preserve"> </v>
      </c>
      <c r="D115" s="40" t="s">
        <v>312</v>
      </c>
      <c r="E115" s="254" t="s">
        <v>544</v>
      </c>
      <c r="F115" s="255"/>
      <c r="G115" s="255"/>
      <c r="H115" s="255"/>
      <c r="I115" s="255"/>
      <c r="J115" s="255"/>
      <c r="K115" s="256"/>
      <c r="L115" s="43">
        <v>4722.5542049960577</v>
      </c>
      <c r="M115" s="44">
        <v>0</v>
      </c>
      <c r="N115" s="44">
        <v>0</v>
      </c>
      <c r="O115" s="44">
        <v>0</v>
      </c>
      <c r="P115" s="44">
        <f>$L115</f>
        <v>4722.5542049960577</v>
      </c>
      <c r="Q115" s="44">
        <v>0</v>
      </c>
      <c r="R115" s="44">
        <v>4260.6907130649024</v>
      </c>
      <c r="S115" s="44">
        <v>461.86349193115478</v>
      </c>
    </row>
    <row r="116" spans="1:19" s="39" customFormat="1" ht="29.25" customHeight="1">
      <c r="B116" s="40" t="s">
        <v>26</v>
      </c>
      <c r="C116" s="241" t="str">
        <f>+IFERROR(VLOOKUP($B116, 'Services to Beneficiaries'!$B$7:$C$17, 2, 0), " ")</f>
        <v xml:space="preserve">Mainstreaming (gender, HIV/AIDS, sustainable development,  etc.) related goods and services                       </v>
      </c>
      <c r="D116" s="40" t="s">
        <v>318</v>
      </c>
      <c r="E116" s="254" t="s">
        <v>547</v>
      </c>
      <c r="F116" s="255"/>
      <c r="G116" s="255"/>
      <c r="H116" s="255"/>
      <c r="I116" s="255"/>
      <c r="J116" s="255"/>
      <c r="K116" s="256"/>
      <c r="L116" s="43">
        <v>3436.2643799677917</v>
      </c>
      <c r="M116" s="44">
        <v>0</v>
      </c>
      <c r="N116" s="44">
        <v>0</v>
      </c>
      <c r="O116" s="44">
        <v>0</v>
      </c>
      <c r="P116" s="44">
        <f>$L116</f>
        <v>3436.2643799677917</v>
      </c>
      <c r="Q116" s="44">
        <v>0</v>
      </c>
      <c r="R116" s="44">
        <v>1718.1321899838958</v>
      </c>
      <c r="S116" s="44">
        <v>1718.1321899838958</v>
      </c>
    </row>
    <row r="117" spans="1:19" ht="30" customHeight="1">
      <c r="A117" s="9"/>
      <c r="B117" s="24"/>
      <c r="C117" s="239"/>
      <c r="D117" s="24" t="s">
        <v>53</v>
      </c>
      <c r="E117" s="25" t="s">
        <v>548</v>
      </c>
      <c r="F117" s="25"/>
      <c r="G117" s="25"/>
      <c r="H117" s="25"/>
      <c r="I117" s="25"/>
      <c r="J117" s="27"/>
      <c r="K117" s="30"/>
      <c r="L117" s="77">
        <f>SUM(L118,L119)</f>
        <v>59949.999797626821</v>
      </c>
      <c r="M117" s="30">
        <f t="shared" ref="M117" si="73">SUM(M118,M119)</f>
        <v>0</v>
      </c>
      <c r="N117" s="30">
        <f t="shared" ref="N117" si="74">SUM(N118,N119)</f>
        <v>0</v>
      </c>
      <c r="O117" s="30">
        <f t="shared" ref="O117" si="75">SUM(O118,O119)</f>
        <v>0</v>
      </c>
      <c r="P117" s="30">
        <f t="shared" ref="P117" si="76">SUM(P118,P119)</f>
        <v>0</v>
      </c>
      <c r="Q117" s="30">
        <f t="shared" ref="Q117" si="77">SUM(Q118,Q119)</f>
        <v>59949.999797626821</v>
      </c>
      <c r="R117" s="30">
        <f t="shared" ref="R117" si="78">SUM(R118,R119)</f>
        <v>0</v>
      </c>
      <c r="S117" s="30">
        <f t="shared" ref="S117" si="79">SUM(S118,S119)</f>
        <v>59949.999797626821</v>
      </c>
    </row>
    <row r="118" spans="1:19" s="39" customFormat="1" ht="29.25" customHeight="1">
      <c r="B118" s="40" t="s">
        <v>28</v>
      </c>
      <c r="C118" s="241" t="str">
        <f>+IFERROR(VLOOKUP($B118, 'Services to Beneficiaries'!$B$7:$C$17, 2, 0), " ")</f>
        <v>Crisis Modifier</v>
      </c>
      <c r="D118" s="40" t="s">
        <v>321</v>
      </c>
      <c r="E118" s="254" t="s">
        <v>549</v>
      </c>
      <c r="F118" s="255"/>
      <c r="G118" s="255"/>
      <c r="H118" s="255"/>
      <c r="I118" s="255"/>
      <c r="J118" s="255"/>
      <c r="K118" s="256"/>
      <c r="L118" s="43">
        <v>13111.640992042076</v>
      </c>
      <c r="M118" s="44">
        <v>0</v>
      </c>
      <c r="N118" s="44">
        <v>0</v>
      </c>
      <c r="O118" s="44">
        <v>0</v>
      </c>
      <c r="P118" s="44">
        <v>0</v>
      </c>
      <c r="Q118" s="44">
        <f>$L118</f>
        <v>13111.640992042076</v>
      </c>
      <c r="R118" s="44">
        <v>0</v>
      </c>
      <c r="S118" s="44">
        <v>13111.640992042076</v>
      </c>
    </row>
    <row r="119" spans="1:19" s="39" customFormat="1" ht="29.25" customHeight="1">
      <c r="B119" s="40" t="s">
        <v>28</v>
      </c>
      <c r="C119" s="241" t="str">
        <f>+IFERROR(VLOOKUP($B119, 'Services to Beneficiaries'!$B$7:$C$17, 2, 0), " ")</f>
        <v>Crisis Modifier</v>
      </c>
      <c r="D119" s="40" t="s">
        <v>591</v>
      </c>
      <c r="E119" s="254" t="s">
        <v>550</v>
      </c>
      <c r="F119" s="255"/>
      <c r="G119" s="255"/>
      <c r="H119" s="255"/>
      <c r="I119" s="255"/>
      <c r="J119" s="255"/>
      <c r="K119" s="256"/>
      <c r="L119" s="43">
        <v>46838.358805584743</v>
      </c>
      <c r="M119" s="44">
        <v>0</v>
      </c>
      <c r="N119" s="44">
        <v>0</v>
      </c>
      <c r="O119" s="44">
        <v>0</v>
      </c>
      <c r="P119" s="44">
        <v>0</v>
      </c>
      <c r="Q119" s="44">
        <f>$L119</f>
        <v>46838.358805584743</v>
      </c>
      <c r="R119" s="44">
        <v>0</v>
      </c>
      <c r="S119" s="44">
        <v>46838.358805584743</v>
      </c>
    </row>
    <row r="120" spans="1:19" ht="15" customHeight="1">
      <c r="A120" s="31"/>
      <c r="B120" s="58"/>
      <c r="C120" s="239"/>
      <c r="D120" s="58"/>
      <c r="E120" s="60" t="s">
        <v>592</v>
      </c>
      <c r="F120" s="59"/>
      <c r="G120" s="59"/>
      <c r="H120" s="59"/>
      <c r="I120" s="59"/>
      <c r="J120" s="61"/>
      <c r="K120" s="62"/>
      <c r="L120" s="63">
        <v>62428.910156075603</v>
      </c>
      <c r="M120" s="64">
        <v>9665.2261560594197</v>
      </c>
      <c r="N120" s="64">
        <v>26537.800376920593</v>
      </c>
      <c r="O120" s="64">
        <v>13558.060736759113</v>
      </c>
      <c r="P120" s="64">
        <v>4948.7538637433427</v>
      </c>
      <c r="Q120" s="64">
        <v>7797.2688665175456</v>
      </c>
      <c r="R120" s="64">
        <v>31253.555</v>
      </c>
      <c r="S120" s="64">
        <v>31253.555</v>
      </c>
    </row>
    <row r="121" spans="1:19" ht="45" customHeight="1">
      <c r="A121" s="31"/>
      <c r="B121" s="6"/>
      <c r="C121" s="238"/>
      <c r="D121" s="6"/>
      <c r="E121" s="20" t="s">
        <v>412</v>
      </c>
      <c r="F121" s="7"/>
      <c r="G121" s="7"/>
      <c r="H121" s="7"/>
      <c r="I121" s="7"/>
      <c r="J121" s="21"/>
      <c r="K121" s="8">
        <f>SUM(K91,K59,K27,K21)</f>
        <v>0</v>
      </c>
      <c r="L121" s="76">
        <f t="shared" ref="L121:S121" si="80">SUM(L21,L27,L59,L88,L91,L120)</f>
        <v>1197500.003904918</v>
      </c>
      <c r="M121" s="76">
        <f t="shared" si="80"/>
        <v>185112.24839639384</v>
      </c>
      <c r="N121" s="76">
        <f t="shared" si="80"/>
        <v>508758.89547475229</v>
      </c>
      <c r="O121" s="76">
        <f t="shared" si="80"/>
        <v>259783.89263882395</v>
      </c>
      <c r="P121" s="76">
        <f t="shared" si="80"/>
        <v>94641.735511717605</v>
      </c>
      <c r="Q121" s="76">
        <f t="shared" si="80"/>
        <v>149281.43172715479</v>
      </c>
      <c r="R121" s="76">
        <f t="shared" si="80"/>
        <v>651093.94757205073</v>
      </c>
      <c r="S121" s="76">
        <f t="shared" si="80"/>
        <v>547906.05712465919</v>
      </c>
    </row>
    <row r="122" spans="1:19" ht="15" customHeight="1">
      <c r="A122" s="9"/>
      <c r="B122" s="10"/>
      <c r="C122" s="23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30" customHeight="1">
      <c r="A123" s="9"/>
      <c r="B123" s="10"/>
      <c r="C123" s="235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5" customHeight="1">
      <c r="A124" s="31"/>
      <c r="B124" s="10"/>
      <c r="C124" s="235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5" customHeight="1">
      <c r="A125" s="31"/>
      <c r="B125" s="10"/>
      <c r="C125" s="235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5" customHeight="1">
      <c r="A126" s="31"/>
      <c r="B126" s="10"/>
      <c r="C126" s="235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204"/>
      <c r="R126" s="10"/>
      <c r="S126" s="10"/>
    </row>
    <row r="127" spans="1:19" ht="30" customHeight="1">
      <c r="A127" s="9"/>
      <c r="B127" s="10"/>
      <c r="C127" s="235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5" customHeight="1">
      <c r="A128" s="31"/>
      <c r="B128" s="10"/>
      <c r="C128" s="235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5" customHeight="1">
      <c r="A129" s="31"/>
      <c r="B129" s="10"/>
      <c r="C129" s="235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5" customHeight="1">
      <c r="A130" s="31"/>
      <c r="B130" s="10"/>
      <c r="C130" s="235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5" customHeight="1">
      <c r="A131" s="9"/>
      <c r="B131" s="10"/>
      <c r="C131" s="23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30" customHeight="1">
      <c r="A132" s="9"/>
      <c r="B132" s="10"/>
      <c r="C132" s="235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2" customHeight="1">
      <c r="A133" s="9"/>
      <c r="B133" s="10"/>
      <c r="C133" s="235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30" customHeight="1">
      <c r="A134" s="9"/>
      <c r="B134" s="10"/>
      <c r="C134" s="235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5" customHeight="1">
      <c r="A135" s="31"/>
      <c r="B135" s="10"/>
      <c r="C135" s="235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2" customHeight="1">
      <c r="A136" s="31"/>
      <c r="B136" s="10"/>
      <c r="C136" s="235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30" customHeight="1">
      <c r="A137" s="9"/>
      <c r="B137" s="10"/>
      <c r="C137" s="235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5" customHeight="1">
      <c r="A138" s="31"/>
      <c r="B138" s="10"/>
      <c r="C138" s="235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5" customHeight="1">
      <c r="A139" s="31"/>
      <c r="B139" s="10"/>
      <c r="C139" s="235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5" customHeight="1">
      <c r="A140" s="31"/>
      <c r="B140" s="10"/>
      <c r="C140" s="235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2" customHeight="1">
      <c r="A141" s="9"/>
      <c r="B141" s="10"/>
      <c r="C141" s="2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30" customHeight="1">
      <c r="A142" s="9"/>
      <c r="B142" s="10"/>
      <c r="C142" s="235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5" customHeight="1">
      <c r="A143" s="31"/>
      <c r="B143" s="10"/>
      <c r="C143" s="235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5" customHeight="1">
      <c r="A144" s="31"/>
      <c r="B144" s="10"/>
      <c r="C144" s="235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5" customHeight="1">
      <c r="A145" s="31"/>
      <c r="B145" s="10"/>
      <c r="C145" s="235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5" customHeight="1">
      <c r="A146" s="31"/>
      <c r="B146" s="10"/>
      <c r="C146" s="235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5" customHeight="1">
      <c r="A147" s="31"/>
      <c r="B147" s="10"/>
      <c r="C147" s="235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5" customHeight="1">
      <c r="A148" s="31"/>
      <c r="B148" s="10"/>
      <c r="C148" s="235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5" customHeight="1">
      <c r="A149" s="31"/>
      <c r="B149" s="10"/>
      <c r="C149" s="235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2" customHeight="1">
      <c r="A150" s="9"/>
      <c r="B150" s="10"/>
      <c r="C150" s="235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30" customHeight="1">
      <c r="A151" s="9"/>
      <c r="B151" s="10"/>
      <c r="C151" s="235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5" customHeight="1">
      <c r="A152" s="31"/>
      <c r="B152" s="10"/>
      <c r="C152" s="2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5" customHeight="1">
      <c r="A153" s="31"/>
      <c r="B153" s="10"/>
      <c r="C153" s="235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5" customHeight="1">
      <c r="A154" s="31"/>
      <c r="B154" s="10"/>
      <c r="C154" s="2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5" customHeight="1">
      <c r="A155" s="31"/>
      <c r="B155" s="10"/>
      <c r="C155" s="235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5" customHeight="1">
      <c r="A156" s="31"/>
      <c r="B156" s="10"/>
      <c r="C156" s="235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5" customHeight="1">
      <c r="A157" s="31"/>
      <c r="B157" s="10"/>
      <c r="C157" s="235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30" customHeight="1">
      <c r="A158" s="9"/>
      <c r="B158" s="10"/>
      <c r="C158" s="235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5" customHeight="1">
      <c r="A159" s="31"/>
      <c r="B159" s="10"/>
      <c r="C159" s="235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5" customHeight="1">
      <c r="A160" s="31"/>
      <c r="B160" s="10"/>
      <c r="C160" s="235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5" customHeight="1">
      <c r="A161" s="31"/>
      <c r="B161" s="10"/>
      <c r="C161" s="235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2" customHeight="1">
      <c r="A162" s="9"/>
      <c r="B162" s="10"/>
      <c r="C162" s="235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30" customHeight="1">
      <c r="A163" s="9"/>
      <c r="B163" s="10"/>
      <c r="C163" s="235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2" customHeight="1">
      <c r="A164" s="9"/>
      <c r="B164" s="10"/>
      <c r="C164" s="235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30" customHeight="1">
      <c r="A165" s="9"/>
      <c r="B165" s="10"/>
      <c r="C165" s="235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5" customHeight="1">
      <c r="A166" s="31"/>
      <c r="B166" s="10"/>
      <c r="C166" s="235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5" customHeight="1">
      <c r="A167" s="31"/>
      <c r="B167" s="10"/>
      <c r="C167" s="235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30" customHeight="1">
      <c r="A168" s="9"/>
      <c r="B168" s="10"/>
      <c r="C168" s="235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5" customHeight="1">
      <c r="A169" s="31"/>
      <c r="B169" s="10"/>
      <c r="C169" s="235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5" customHeight="1">
      <c r="A170" s="31"/>
      <c r="B170" s="10"/>
      <c r="C170" s="235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2" customHeight="1">
      <c r="A171" s="9"/>
      <c r="B171" s="10"/>
      <c r="C171" s="235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30" customHeight="1">
      <c r="A172" s="9"/>
      <c r="B172" s="10"/>
      <c r="C172" s="235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2" customHeight="1">
      <c r="A173" s="9"/>
      <c r="B173" s="10"/>
      <c r="C173" s="235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30" customHeight="1">
      <c r="A174" s="9"/>
      <c r="B174" s="10"/>
      <c r="C174" s="235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5" customHeight="1">
      <c r="A175" s="31"/>
      <c r="B175" s="10"/>
      <c r="C175" s="23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30" customHeight="1">
      <c r="A176" s="9"/>
      <c r="B176" s="10"/>
      <c r="C176" s="235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5" customHeight="1">
      <c r="A177" s="31"/>
      <c r="B177" s="10"/>
      <c r="C177" s="235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2" customHeight="1">
      <c r="A178" s="9"/>
      <c r="B178" s="10"/>
      <c r="C178" s="235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31.5" customHeight="1">
      <c r="A179" s="5"/>
      <c r="B179" s="10"/>
      <c r="C179" s="235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2" customHeight="1">
      <c r="B180" s="15"/>
      <c r="C180" s="244"/>
      <c r="D180" s="15"/>
      <c r="E180" s="15"/>
      <c r="F180" s="15"/>
      <c r="G180" s="15"/>
      <c r="H180" s="15"/>
      <c r="I180" s="15"/>
    </row>
    <row r="181" spans="1:19" ht="13.2" customHeight="1">
      <c r="B181" s="15"/>
      <c r="C181" s="244"/>
      <c r="D181" s="15"/>
      <c r="E181" s="15"/>
      <c r="F181" s="15"/>
      <c r="G181" s="15"/>
      <c r="H181" s="15"/>
      <c r="I181" s="15"/>
    </row>
    <row r="182" spans="1:19" ht="13.2" customHeight="1">
      <c r="B182" s="15"/>
      <c r="C182" s="244"/>
      <c r="D182" s="15"/>
      <c r="E182" s="15"/>
      <c r="F182" s="15"/>
      <c r="G182" s="15"/>
      <c r="H182" s="15"/>
      <c r="I182" s="15"/>
    </row>
    <row r="183" spans="1:19" ht="13.2">
      <c r="B183" s="15"/>
      <c r="C183" s="244"/>
      <c r="D183" s="15"/>
      <c r="E183" s="15"/>
      <c r="F183" s="15"/>
      <c r="G183" s="15"/>
      <c r="H183" s="15"/>
      <c r="I183" s="15"/>
      <c r="J183" s="75"/>
      <c r="K183" s="89"/>
      <c r="L183" s="90"/>
    </row>
    <row r="184" spans="1:19" ht="13.2">
      <c r="B184" s="15"/>
      <c r="C184" s="244"/>
      <c r="D184" s="15"/>
      <c r="E184" s="15"/>
      <c r="F184" s="15"/>
      <c r="G184" s="15"/>
      <c r="H184" s="15"/>
      <c r="I184" s="15"/>
      <c r="J184" s="75"/>
      <c r="K184" s="89"/>
      <c r="L184" s="90"/>
    </row>
    <row r="185" spans="1:19" ht="13.2"/>
    <row r="186" spans="1:19" ht="13.2"/>
    <row r="187" spans="1:19" ht="13.2"/>
    <row r="188" spans="1:19" ht="13.2"/>
    <row r="189" spans="1:19" ht="13.2"/>
    <row r="190" spans="1:19" ht="13.2"/>
    <row r="191" spans="1:19" ht="13.2"/>
    <row r="192" spans="1:19" ht="13.2"/>
    <row r="193" ht="13.2"/>
  </sheetData>
  <mergeCells count="36">
    <mergeCell ref="B19:B20"/>
    <mergeCell ref="E105:K105"/>
    <mergeCell ref="G14:K14"/>
    <mergeCell ref="E99:K99"/>
    <mergeCell ref="E100:K100"/>
    <mergeCell ref="E101:K101"/>
    <mergeCell ref="E104:K104"/>
    <mergeCell ref="E92:J92"/>
    <mergeCell ref="E102:J102"/>
    <mergeCell ref="S19:S20"/>
    <mergeCell ref="D19:D20"/>
    <mergeCell ref="E19:E20"/>
    <mergeCell ref="F19:F20"/>
    <mergeCell ref="G19:G20"/>
    <mergeCell ref="H19:H20"/>
    <mergeCell ref="L19:L20"/>
    <mergeCell ref="M19:M20"/>
    <mergeCell ref="N19:N20"/>
    <mergeCell ref="O19:O20"/>
    <mergeCell ref="P19:P20"/>
    <mergeCell ref="Q19:Q20"/>
    <mergeCell ref="R19:R20"/>
    <mergeCell ref="I19:I20"/>
    <mergeCell ref="J19:J20"/>
    <mergeCell ref="K19:K20"/>
    <mergeCell ref="E106:K106"/>
    <mergeCell ref="E107:K107"/>
    <mergeCell ref="E109:K109"/>
    <mergeCell ref="E110:K110"/>
    <mergeCell ref="E111:K111"/>
    <mergeCell ref="E119:K119"/>
    <mergeCell ref="E112:K112"/>
    <mergeCell ref="E113:K113"/>
    <mergeCell ref="E115:K115"/>
    <mergeCell ref="E116:K116"/>
    <mergeCell ref="E118:K11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C3DB43-8AA8-42A8-A988-CE9F90028F35}">
          <x14:formula1>
            <xm:f>'Services to Beneficiaries'!$B$7:$B$17</xm:f>
          </x14:formula1>
          <xm:sqref>B81:B84 B94:B97 B99:B102 B104:B107 B115:B116 B118:B119 B24 B30:B34 B36:B47 B53:B55 B57:B58 B62:B64 B66:B67 B71 B73 B78:B79 B86:B87 B89:B90 B109:B113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b0ec71-3dc6-42dc-8aaf-964cfe9da525" xsi:nil="true"/>
    <lcf76f155ced4ddcb4097134ff3c332f xmlns="2d926aab-3708-44f9-9783-e039b1f2d2f3">
      <Terms xmlns="http://schemas.microsoft.com/office/infopath/2007/PartnerControls"/>
    </lcf76f155ced4ddcb4097134ff3c332f>
    <ToBeArchived xmlns="48b0ec71-3dc6-42dc-8aaf-964cfe9da525" xsi:nil="true"/>
    <TaxCatchAllLabe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D02EDC63C83B4DA6C4E284D1AB5566" ma:contentTypeVersion="27" ma:contentTypeDescription="Create a new document." ma:contentTypeScope="" ma:versionID="8e8b5447fe493bdcb9af4a19857534c6">
  <xsd:schema xmlns:xsd="http://www.w3.org/2001/XMLSchema" xmlns:xs="http://www.w3.org/2001/XMLSchema" xmlns:p="http://schemas.microsoft.com/office/2006/metadata/properties" xmlns:ns2="2d926aab-3708-44f9-9783-e039b1f2d2f3" xmlns:ns3="48b0ec71-3dc6-42dc-8aaf-964cfe9da525" targetNamespace="http://schemas.microsoft.com/office/2006/metadata/properties" ma:root="true" ma:fieldsID="1d7a828b0f63880608a12c6e8edf9106" ns2:_="" ns3:_="">
    <xsd:import namespace="2d926aab-3708-44f9-9783-e039b1f2d2f3"/>
    <xsd:import namespace="48b0ec71-3dc6-42dc-8aaf-964cfe9da525"/>
    <xsd:element name="properties">
      <xsd:complexType>
        <xsd:sequence>
          <xsd:element name="documentManagement">
            <xsd:complexType>
              <xsd:all>
                <xsd:element ref="ns3:ToBeArchived" minOccurs="0"/>
                <xsd:element ref="ns3:p5e7a70900b24fdf9bcfb9b5fc846c60" minOccurs="0"/>
                <xsd:element ref="ns3:TaxCatchAll" minOccurs="0"/>
                <xsd:element ref="ns3:TaxCatchAllLabel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26aab-3708-44f9-9783-e039b1f2d2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ToBeArchived" ma:index="5" nillable="true" ma:displayName="To be archived" ma:internalName="ToBeArchived">
      <xsd:simpleType>
        <xsd:restriction base="dms:Boolean"/>
      </xsd:simpleType>
    </xsd:element>
    <xsd:element name="p5e7a70900b24fdf9bcfb9b5fc846c60" ma:index="8" nillable="true" ma:taxonomy="true" ma:internalName="p5e7a70900b24fdf9bcfb9b5fc846c60" ma:taxonomyFieldName="ArchiveCode" ma:displayName="Archive code" ma:readOnly="fals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9ebbb7-3158-4ea9-99f1-112bad551a90}" ma:internalName="TaxCatchAll" ma:readOnly="false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9ebbb7-3158-4ea9-99f1-112bad551a90}" ma:internalName="TaxCatchAllLabel" ma:readOnly="fals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A3782-B976-4CF1-9AF2-2A4721A5A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B2232-E528-4750-A647-FEA327E051F3}">
  <ds:schemaRefs>
    <ds:schemaRef ds:uri="http://schemas.microsoft.com/office/2006/metadata/properties"/>
    <ds:schemaRef ds:uri="http://schemas.microsoft.com/office/infopath/2007/PartnerControls"/>
    <ds:schemaRef ds:uri="48b0ec71-3dc6-42dc-8aaf-964cfe9da525"/>
    <ds:schemaRef ds:uri="2d926aab-3708-44f9-9783-e039b1f2d2f3"/>
  </ds:schemaRefs>
</ds:datastoreItem>
</file>

<file path=customXml/itemProps3.xml><?xml version="1.0" encoding="utf-8"?>
<ds:datastoreItem xmlns:ds="http://schemas.openxmlformats.org/officeDocument/2006/customXml" ds:itemID="{E21E02E6-9696-46C5-B75D-1BA1C7188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26aab-3708-44f9-9783-e039b1f2d2f3"/>
    <ds:schemaRef ds:uri="48b0ec71-3dc6-42dc-8aaf-964cfe9d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Services to Beneficiaries</vt:lpstr>
      <vt:lpstr>MLI</vt:lpstr>
      <vt:lpstr>NER</vt:lpstr>
      <vt:lpstr>UGA</vt:lpstr>
      <vt:lpstr>RWA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2023-10-23T14:33:25Z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0x0101002CD02EDC63C83B4DA6C4E284D1AB5566</vt:lpwstr>
  </property>
  <property fmtid="{D5CDD505-2E9C-101B-9397-08002B2CF9AE}" pid="3" name="MediaServiceImageTags">
    <vt:lpwstr/>
  </property>
  <property fmtid="{D5CDD505-2E9C-101B-9397-08002B2CF9AE}" pid="4" name="ArchiveCode">
    <vt:lpwstr/>
  </property>
  <property fmtid="{D5CDD505-2E9C-101B-9397-08002B2CF9AE}" pid="5" name="MSIP_Label_dddc1db8-2f64-468c-a02a-c7d04ea19826_Enabled">
    <vt:lpwstr>true</vt:lpwstr>
  </property>
  <property fmtid="{D5CDD505-2E9C-101B-9397-08002B2CF9AE}" pid="6" name="MSIP_Label_dddc1db8-2f64-468c-a02a-c7d04ea19826_SetDate">
    <vt:lpwstr>2023-10-23T14:31:09Z</vt:lpwstr>
  </property>
  <property fmtid="{D5CDD505-2E9C-101B-9397-08002B2CF9AE}" pid="7" name="MSIP_Label_dddc1db8-2f64-468c-a02a-c7d04ea19826_Method">
    <vt:lpwstr>Privileged</vt:lpwstr>
  </property>
  <property fmtid="{D5CDD505-2E9C-101B-9397-08002B2CF9AE}" pid="8" name="MSIP_Label_dddc1db8-2f64-468c-a02a-c7d04ea19826_Name">
    <vt:lpwstr>Non classifié - Niet geclassificeerd</vt:lpwstr>
  </property>
  <property fmtid="{D5CDD505-2E9C-101B-9397-08002B2CF9AE}" pid="9" name="MSIP_Label_dddc1db8-2f64-468c-a02a-c7d04ea19826_SiteId">
    <vt:lpwstr>80153b30-e434-429b-b41c-0d47f9deec42</vt:lpwstr>
  </property>
  <property fmtid="{D5CDD505-2E9C-101B-9397-08002B2CF9AE}" pid="10" name="MSIP_Label_dddc1db8-2f64-468c-a02a-c7d04ea19826_ActionId">
    <vt:lpwstr>4178e22a-e6cf-41cd-8df0-bdcfa26e97a9</vt:lpwstr>
  </property>
  <property fmtid="{D5CDD505-2E9C-101B-9397-08002B2CF9AE}" pid="11" name="MSIP_Label_dddc1db8-2f64-468c-a02a-c7d04ea19826_ContentBits">
    <vt:lpwstr>0</vt:lpwstr>
  </property>
</Properties>
</file>