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plomatiebel-my.sharepoint.com/personal/aubry_vanhove_diplobel_fed_be/Documents/DATA/2. Documents de travail/1. cProgrammes 2022/3. Budgets/1.3_Contrôle ajustements 20MEUR/"/>
    </mc:Choice>
  </mc:AlternateContent>
  <xr:revisionPtr revIDLastSave="40" documentId="8_{CB10B2D9-E069-432C-A6EA-3AFE244860F9}" xr6:coauthVersionLast="47" xr6:coauthVersionMax="47" xr10:uidLastSave="{B855B938-8A6E-4ED2-B92E-FE635A9D3569}"/>
  <bookViews>
    <workbookView xWindow="-108" yWindow="-108" windowWidth="23256" windowHeight="12576" xr2:uid="{B303097A-E011-432D-B0E4-923DE11195B5}"/>
  </bookViews>
  <sheets>
    <sheet name="SAB_OBA" sheetId="1" r:id="rId1"/>
  </sheets>
  <definedNames>
    <definedName name="_xlnm.Print_Area" localSheetId="0">SAB_OBA!$A$1:$W$83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9" i="1" l="1"/>
  <c r="F71" i="1"/>
  <c r="F70" i="1"/>
  <c r="F69" i="1"/>
  <c r="F44" i="1"/>
  <c r="F43" i="1"/>
  <c r="F42" i="1"/>
  <c r="F39" i="1"/>
  <c r="F38" i="1"/>
  <c r="F37" i="1"/>
  <c r="F34" i="1"/>
  <c r="F33" i="1"/>
  <c r="F32" i="1"/>
  <c r="F29" i="1"/>
  <c r="F28" i="1"/>
  <c r="F27" i="1"/>
  <c r="F24" i="1"/>
  <c r="F23" i="1"/>
  <c r="F22" i="1"/>
  <c r="F19" i="1"/>
  <c r="F18" i="1"/>
  <c r="F17" i="1"/>
  <c r="I77" i="1" l="1"/>
  <c r="H77" i="1"/>
  <c r="G77" i="1"/>
  <c r="E77" i="1"/>
  <c r="E81" i="1" s="1"/>
  <c r="D77" i="1"/>
  <c r="I79" i="1"/>
  <c r="H79" i="1"/>
  <c r="G79" i="1"/>
  <c r="J79" i="1" s="1"/>
  <c r="E79" i="1"/>
  <c r="I81" i="1"/>
  <c r="H81" i="1"/>
  <c r="G81" i="1"/>
  <c r="D83" i="1"/>
  <c r="N79" i="1" l="1"/>
  <c r="K79" i="1"/>
  <c r="D81" i="1"/>
  <c r="L44" i="1" l="1"/>
  <c r="J44" i="1"/>
  <c r="K44" i="1" s="1"/>
  <c r="B44" i="1"/>
  <c r="L43" i="1"/>
  <c r="J43" i="1"/>
  <c r="K43" i="1" s="1"/>
  <c r="B43" i="1"/>
  <c r="L42" i="1"/>
  <c r="J42" i="1"/>
  <c r="K42" i="1" s="1"/>
  <c r="B42" i="1"/>
  <c r="I41" i="1"/>
  <c r="I40" i="1" s="1"/>
  <c r="H41" i="1"/>
  <c r="H40" i="1" s="1"/>
  <c r="G41" i="1"/>
  <c r="F41" i="1"/>
  <c r="F40" i="1" s="1"/>
  <c r="E41" i="1"/>
  <c r="E40" i="1" s="1"/>
  <c r="D41" i="1"/>
  <c r="L41" i="1" s="1"/>
  <c r="B41" i="1"/>
  <c r="B40" i="1"/>
  <c r="L39" i="1"/>
  <c r="J39" i="1"/>
  <c r="N39" i="1" s="1"/>
  <c r="B39" i="1"/>
  <c r="L38" i="1"/>
  <c r="J38" i="1"/>
  <c r="K38" i="1" s="1"/>
  <c r="B38" i="1"/>
  <c r="L37" i="1"/>
  <c r="J37" i="1"/>
  <c r="K37" i="1" s="1"/>
  <c r="B37" i="1"/>
  <c r="I36" i="1"/>
  <c r="I35" i="1" s="1"/>
  <c r="H36" i="1"/>
  <c r="H35" i="1" s="1"/>
  <c r="G36" i="1"/>
  <c r="G35" i="1" s="1"/>
  <c r="F36" i="1"/>
  <c r="F35" i="1" s="1"/>
  <c r="E36" i="1"/>
  <c r="D36" i="1"/>
  <c r="L36" i="1" s="1"/>
  <c r="B36" i="1"/>
  <c r="E35" i="1"/>
  <c r="B35" i="1"/>
  <c r="L34" i="1"/>
  <c r="J34" i="1"/>
  <c r="K34" i="1" s="1"/>
  <c r="B34" i="1"/>
  <c r="L33" i="1"/>
  <c r="J33" i="1"/>
  <c r="N33" i="1" s="1"/>
  <c r="B33" i="1"/>
  <c r="L32" i="1"/>
  <c r="J32" i="1"/>
  <c r="N32" i="1" s="1"/>
  <c r="B32" i="1"/>
  <c r="I31" i="1"/>
  <c r="I30" i="1" s="1"/>
  <c r="H31" i="1"/>
  <c r="H30" i="1" s="1"/>
  <c r="G31" i="1"/>
  <c r="G30" i="1" s="1"/>
  <c r="F31" i="1"/>
  <c r="F30" i="1" s="1"/>
  <c r="E31" i="1"/>
  <c r="D31" i="1"/>
  <c r="D30" i="1" s="1"/>
  <c r="B31" i="1"/>
  <c r="B30" i="1"/>
  <c r="L29" i="1"/>
  <c r="J29" i="1"/>
  <c r="N29" i="1" s="1"/>
  <c r="B29" i="1"/>
  <c r="L28" i="1"/>
  <c r="J28" i="1"/>
  <c r="N28" i="1" s="1"/>
  <c r="B28" i="1"/>
  <c r="L27" i="1"/>
  <c r="J27" i="1"/>
  <c r="N27" i="1" s="1"/>
  <c r="B27" i="1"/>
  <c r="I26" i="1"/>
  <c r="I25" i="1" s="1"/>
  <c r="H26" i="1"/>
  <c r="H25" i="1" s="1"/>
  <c r="G26" i="1"/>
  <c r="G25" i="1" s="1"/>
  <c r="F26" i="1"/>
  <c r="F25" i="1" s="1"/>
  <c r="E26" i="1"/>
  <c r="D26" i="1"/>
  <c r="L26" i="1" s="1"/>
  <c r="B26" i="1"/>
  <c r="B25" i="1"/>
  <c r="L24" i="1"/>
  <c r="J24" i="1"/>
  <c r="K24" i="1" s="1"/>
  <c r="B24" i="1"/>
  <c r="L23" i="1"/>
  <c r="J23" i="1"/>
  <c r="K23" i="1" s="1"/>
  <c r="B23" i="1"/>
  <c r="L22" i="1"/>
  <c r="J22" i="1"/>
  <c r="K22" i="1" s="1"/>
  <c r="B22" i="1"/>
  <c r="I21" i="1"/>
  <c r="H21" i="1"/>
  <c r="H20" i="1" s="1"/>
  <c r="G21" i="1"/>
  <c r="G20" i="1" s="1"/>
  <c r="F21" i="1"/>
  <c r="F20" i="1" s="1"/>
  <c r="E21" i="1"/>
  <c r="D21" i="1"/>
  <c r="B21" i="1"/>
  <c r="E20" i="1"/>
  <c r="D20" i="1"/>
  <c r="B20" i="1"/>
  <c r="J41" i="1" l="1"/>
  <c r="K41" i="1" s="1"/>
  <c r="N44" i="1"/>
  <c r="J40" i="1"/>
  <c r="K40" i="1" s="1"/>
  <c r="N43" i="1"/>
  <c r="J35" i="1"/>
  <c r="K35" i="1" s="1"/>
  <c r="G40" i="1"/>
  <c r="N38" i="1"/>
  <c r="K28" i="1"/>
  <c r="J31" i="1"/>
  <c r="K31" i="1" s="1"/>
  <c r="N42" i="1"/>
  <c r="D35" i="1"/>
  <c r="L35" i="1" s="1"/>
  <c r="D25" i="1"/>
  <c r="L25" i="1" s="1"/>
  <c r="J36" i="1"/>
  <c r="K36" i="1" s="1"/>
  <c r="N37" i="1"/>
  <c r="K39" i="1"/>
  <c r="N41" i="1"/>
  <c r="D40" i="1"/>
  <c r="J21" i="1"/>
  <c r="K21" i="1" s="1"/>
  <c r="J26" i="1"/>
  <c r="N26" i="1" s="1"/>
  <c r="N22" i="1"/>
  <c r="K32" i="1"/>
  <c r="K27" i="1"/>
  <c r="N34" i="1"/>
  <c r="L30" i="1"/>
  <c r="L31" i="1"/>
  <c r="K29" i="1"/>
  <c r="E25" i="1"/>
  <c r="J25" i="1" s="1"/>
  <c r="K25" i="1" s="1"/>
  <c r="K33" i="1"/>
  <c r="N23" i="1"/>
  <c r="E30" i="1"/>
  <c r="J30" i="1" s="1"/>
  <c r="K30" i="1" s="1"/>
  <c r="L20" i="1"/>
  <c r="L21" i="1"/>
  <c r="N24" i="1"/>
  <c r="I20" i="1"/>
  <c r="J20" i="1" s="1"/>
  <c r="N36" i="1" l="1"/>
  <c r="N31" i="1"/>
  <c r="N35" i="1"/>
  <c r="K26" i="1"/>
  <c r="N40" i="1"/>
  <c r="L40" i="1"/>
  <c r="N21" i="1"/>
  <c r="N25" i="1"/>
  <c r="N30" i="1"/>
  <c r="K20" i="1"/>
  <c r="N20" i="1"/>
  <c r="N10" i="1" l="1"/>
  <c r="M10" i="1"/>
  <c r="L10" i="1"/>
  <c r="K10" i="1"/>
  <c r="J10" i="1"/>
  <c r="I10" i="1"/>
  <c r="H10" i="1"/>
  <c r="G10" i="1"/>
  <c r="F10" i="1"/>
  <c r="E10" i="1"/>
  <c r="D10" i="1"/>
  <c r="C10" i="1"/>
  <c r="B10" i="1"/>
  <c r="B7" i="1"/>
  <c r="D7" i="1"/>
  <c r="E7" i="1"/>
  <c r="L75" i="1"/>
  <c r="L74" i="1"/>
  <c r="L73" i="1"/>
  <c r="L71" i="1"/>
  <c r="L70" i="1"/>
  <c r="L69" i="1"/>
  <c r="L67" i="1"/>
  <c r="L66" i="1"/>
  <c r="L65" i="1"/>
  <c r="L63" i="1"/>
  <c r="L62" i="1"/>
  <c r="L61" i="1"/>
  <c r="L17" i="1"/>
  <c r="L18" i="1"/>
  <c r="L19" i="1"/>
  <c r="L47" i="1"/>
  <c r="L48" i="1"/>
  <c r="L49" i="1"/>
  <c r="L51" i="1"/>
  <c r="L52" i="1"/>
  <c r="L53" i="1"/>
  <c r="L56" i="1"/>
  <c r="L57" i="1"/>
  <c r="L58" i="1"/>
  <c r="J75" i="1"/>
  <c r="J74" i="1"/>
  <c r="J73" i="1"/>
  <c r="J71" i="1"/>
  <c r="J70" i="1"/>
  <c r="J69" i="1"/>
  <c r="J67" i="1"/>
  <c r="J66" i="1"/>
  <c r="J65" i="1"/>
  <c r="J63" i="1"/>
  <c r="J62" i="1"/>
  <c r="J61" i="1"/>
  <c r="J58" i="1"/>
  <c r="J57" i="1"/>
  <c r="J56" i="1"/>
  <c r="K56" i="1" s="1"/>
  <c r="J53" i="1"/>
  <c r="K53" i="1" s="1"/>
  <c r="J52" i="1"/>
  <c r="K52" i="1" s="1"/>
  <c r="J51" i="1"/>
  <c r="K51" i="1" s="1"/>
  <c r="J49" i="1"/>
  <c r="K49" i="1" s="1"/>
  <c r="J48" i="1"/>
  <c r="K48" i="1" s="1"/>
  <c r="J47" i="1"/>
  <c r="K47" i="1" s="1"/>
  <c r="J19" i="1"/>
  <c r="K19" i="1" s="1"/>
  <c r="J18" i="1"/>
  <c r="K18" i="1" s="1"/>
  <c r="J17" i="1"/>
  <c r="I72" i="1"/>
  <c r="I68" i="1"/>
  <c r="I64" i="1"/>
  <c r="I60" i="1"/>
  <c r="I55" i="1"/>
  <c r="I54" i="1" s="1"/>
  <c r="I50" i="1"/>
  <c r="I46" i="1"/>
  <c r="I16" i="1"/>
  <c r="I15" i="1" s="1"/>
  <c r="H72" i="1"/>
  <c r="H68" i="1"/>
  <c r="H64" i="1"/>
  <c r="H60" i="1"/>
  <c r="H55" i="1"/>
  <c r="H54" i="1" s="1"/>
  <c r="H50" i="1"/>
  <c r="H46" i="1"/>
  <c r="H16" i="1"/>
  <c r="H15" i="1" s="1"/>
  <c r="G72" i="1"/>
  <c r="G68" i="1"/>
  <c r="G64" i="1"/>
  <c r="G60" i="1"/>
  <c r="G55" i="1"/>
  <c r="G54" i="1" s="1"/>
  <c r="G50" i="1"/>
  <c r="G46" i="1"/>
  <c r="G16" i="1"/>
  <c r="G15" i="1" s="1"/>
  <c r="F72" i="1"/>
  <c r="F68" i="1"/>
  <c r="F64" i="1"/>
  <c r="F60" i="1"/>
  <c r="F55" i="1"/>
  <c r="F54" i="1" s="1"/>
  <c r="F50" i="1"/>
  <c r="F46" i="1"/>
  <c r="F16" i="1"/>
  <c r="F15" i="1" s="1"/>
  <c r="E72" i="1"/>
  <c r="E68" i="1"/>
  <c r="E64" i="1"/>
  <c r="E60" i="1"/>
  <c r="E55" i="1"/>
  <c r="E54" i="1" s="1"/>
  <c r="E50" i="1"/>
  <c r="E46" i="1"/>
  <c r="E16" i="1"/>
  <c r="E15" i="1" s="1"/>
  <c r="D72" i="1"/>
  <c r="D68" i="1"/>
  <c r="D64" i="1"/>
  <c r="L64" i="1" s="1"/>
  <c r="D60" i="1"/>
  <c r="L60" i="1" s="1"/>
  <c r="D55" i="1"/>
  <c r="L55" i="1" s="1"/>
  <c r="D50" i="1"/>
  <c r="D46" i="1"/>
  <c r="L46" i="1" s="1"/>
  <c r="D16" i="1"/>
  <c r="D15" i="1" s="1"/>
  <c r="B67" i="1"/>
  <c r="B66" i="1"/>
  <c r="B65" i="1"/>
  <c r="B63" i="1"/>
  <c r="B62" i="1"/>
  <c r="B61" i="1"/>
  <c r="B58" i="1"/>
  <c r="B57" i="1"/>
  <c r="B56" i="1"/>
  <c r="B53" i="1"/>
  <c r="B52" i="1"/>
  <c r="B51" i="1"/>
  <c r="B49" i="1"/>
  <c r="B48" i="1"/>
  <c r="B47" i="1"/>
  <c r="B14" i="1"/>
  <c r="B75" i="1"/>
  <c r="B74" i="1"/>
  <c r="B73" i="1"/>
  <c r="B72" i="1"/>
  <c r="B71" i="1"/>
  <c r="B70" i="1"/>
  <c r="B69" i="1"/>
  <c r="B68" i="1"/>
  <c r="B64" i="1"/>
  <c r="B60" i="1"/>
  <c r="B59" i="1"/>
  <c r="B55" i="1"/>
  <c r="B54" i="1"/>
  <c r="B50" i="1"/>
  <c r="B46" i="1"/>
  <c r="B45" i="1"/>
  <c r="B19" i="1"/>
  <c r="B18" i="1"/>
  <c r="B17" i="1"/>
  <c r="B16" i="1"/>
  <c r="B15" i="1"/>
  <c r="N13" i="1"/>
  <c r="N12" i="1"/>
  <c r="M13" i="1"/>
  <c r="M12" i="1"/>
  <c r="L13" i="1"/>
  <c r="L12" i="1"/>
  <c r="E12" i="1"/>
  <c r="D13" i="1"/>
  <c r="D12" i="1"/>
  <c r="C13" i="1"/>
  <c r="B13" i="1"/>
  <c r="C12" i="1"/>
  <c r="B12" i="1"/>
  <c r="J12" i="1"/>
  <c r="N4" i="1"/>
  <c r="M4" i="1"/>
  <c r="L4" i="1"/>
  <c r="J4" i="1"/>
  <c r="I4" i="1"/>
  <c r="H4" i="1"/>
  <c r="G4" i="1"/>
  <c r="F4" i="1"/>
  <c r="E4" i="1"/>
  <c r="D4" i="1"/>
  <c r="B4" i="1"/>
  <c r="E8" i="1"/>
  <c r="D8" i="1"/>
  <c r="B8" i="1"/>
  <c r="E6" i="1"/>
  <c r="D6" i="1"/>
  <c r="B6" i="1"/>
  <c r="E5" i="1"/>
  <c r="D5" i="1"/>
  <c r="B5" i="1"/>
  <c r="L2" i="1"/>
  <c r="J2" i="1"/>
  <c r="I2" i="1"/>
  <c r="H2" i="1"/>
  <c r="G2" i="1"/>
  <c r="F2" i="1"/>
  <c r="E2" i="1"/>
  <c r="D2" i="1"/>
  <c r="B2" i="1"/>
  <c r="M2" i="1"/>
  <c r="G14" i="1" l="1"/>
  <c r="H59" i="1"/>
  <c r="I59" i="1"/>
  <c r="N67" i="1"/>
  <c r="K67" i="1"/>
  <c r="N57" i="1"/>
  <c r="K57" i="1"/>
  <c r="N58" i="1"/>
  <c r="K58" i="1"/>
  <c r="N70" i="1"/>
  <c r="K70" i="1"/>
  <c r="N71" i="1"/>
  <c r="K71" i="1"/>
  <c r="N62" i="1"/>
  <c r="K62" i="1"/>
  <c r="N73" i="1"/>
  <c r="K73" i="1"/>
  <c r="N63" i="1"/>
  <c r="K63" i="1"/>
  <c r="N74" i="1"/>
  <c r="K74" i="1"/>
  <c r="N75" i="1"/>
  <c r="K75" i="1"/>
  <c r="N69" i="1"/>
  <c r="K69" i="1"/>
  <c r="N66" i="1"/>
  <c r="K66" i="1"/>
  <c r="N65" i="1"/>
  <c r="K65" i="1"/>
  <c r="N61" i="1"/>
  <c r="K61" i="1"/>
  <c r="N56" i="1"/>
  <c r="N53" i="1"/>
  <c r="N52" i="1"/>
  <c r="N51" i="1"/>
  <c r="N49" i="1"/>
  <c r="N47" i="1"/>
  <c r="N48" i="1"/>
  <c r="N19" i="1"/>
  <c r="N18" i="1"/>
  <c r="N17" i="1"/>
  <c r="K17" i="1"/>
  <c r="J68" i="1"/>
  <c r="K68" i="1" s="1"/>
  <c r="J15" i="1"/>
  <c r="J50" i="1"/>
  <c r="K50" i="1" s="1"/>
  <c r="I45" i="1"/>
  <c r="I14" i="1" s="1"/>
  <c r="G59" i="1"/>
  <c r="F45" i="1"/>
  <c r="F14" i="1" s="1"/>
  <c r="F77" i="1" s="1"/>
  <c r="J64" i="1"/>
  <c r="K64" i="1" s="1"/>
  <c r="J72" i="1"/>
  <c r="K72" i="1" s="1"/>
  <c r="J60" i="1"/>
  <c r="K60" i="1" s="1"/>
  <c r="D45" i="1"/>
  <c r="L45" i="1" s="1"/>
  <c r="J54" i="1"/>
  <c r="K54" i="1" s="1"/>
  <c r="E45" i="1"/>
  <c r="E14" i="1" s="1"/>
  <c r="J16" i="1"/>
  <c r="D59" i="1"/>
  <c r="L50" i="1"/>
  <c r="E59" i="1"/>
  <c r="G45" i="1"/>
  <c r="L15" i="1"/>
  <c r="L16" i="1"/>
  <c r="D54" i="1"/>
  <c r="J46" i="1"/>
  <c r="K46" i="1" s="1"/>
  <c r="F59" i="1"/>
  <c r="H45" i="1"/>
  <c r="H14" i="1" s="1"/>
  <c r="J55" i="1"/>
  <c r="K55" i="1" s="1"/>
  <c r="J77" i="1" l="1"/>
  <c r="F83" i="1"/>
  <c r="J83" i="1" s="1"/>
  <c r="N83" i="1" s="1"/>
  <c r="F81" i="1"/>
  <c r="J81" i="1" s="1"/>
  <c r="K81" i="1" s="1"/>
  <c r="K77" i="1"/>
  <c r="N77" i="1"/>
  <c r="K83" i="1"/>
  <c r="D14" i="1"/>
  <c r="N64" i="1"/>
  <c r="N60" i="1"/>
  <c r="N55" i="1"/>
  <c r="N50" i="1"/>
  <c r="N46" i="1"/>
  <c r="N15" i="1"/>
  <c r="K15" i="1"/>
  <c r="N16" i="1"/>
  <c r="K16" i="1"/>
  <c r="N68" i="1"/>
  <c r="N72" i="1"/>
  <c r="J45" i="1"/>
  <c r="K45" i="1" s="1"/>
  <c r="N54" i="1"/>
  <c r="L54" i="1"/>
  <c r="J59" i="1"/>
  <c r="K59" i="1" s="1"/>
  <c r="L59" i="1"/>
  <c r="N81" i="1" l="1"/>
  <c r="N59" i="1"/>
  <c r="J14" i="1"/>
  <c r="K14" i="1" s="1"/>
  <c r="N45" i="1"/>
  <c r="N14" i="1" l="1"/>
</calcChain>
</file>

<file path=xl/sharedStrings.xml><?xml version="1.0" encoding="utf-8"?>
<sst xmlns="http://schemas.openxmlformats.org/spreadsheetml/2006/main" count="183" uniqueCount="70">
  <si>
    <t>FR</t>
  </si>
  <si>
    <t>SUIVI DES AJUSTEMENTS BUDGÉTAIRES</t>
  </si>
  <si>
    <t>LANGUE :</t>
  </si>
  <si>
    <t>OPVOLGING VAN DE BUDGETTAIRE AANPASSINGEN</t>
  </si>
  <si>
    <t>TAAL:</t>
  </si>
  <si>
    <t>NL</t>
  </si>
  <si>
    <t>IDENTIFICATION DE L'ACNG ET DU PROGRAMME</t>
  </si>
  <si>
    <t>IDENTIFICATIE VAN DE NGA EN VAN HET PROGRAMMA</t>
  </si>
  <si>
    <t>Nom de l'ACNG :</t>
  </si>
  <si>
    <t>Naam van de NGA:</t>
  </si>
  <si>
    <t>2022-2026</t>
  </si>
  <si>
    <t>Cycle de programmation :</t>
  </si>
  <si>
    <t>Programmeringscyclus :</t>
  </si>
  <si>
    <t>Année de la justification :</t>
  </si>
  <si>
    <t>Jaar van de verantwoording:</t>
  </si>
  <si>
    <t>Numéro P.O. (Bon de commande - 4500XXXXXX) :</t>
  </si>
  <si>
    <t>P.O nummer (Bestelbon - 4500XXXXXX):</t>
  </si>
  <si>
    <t>Art. 34, §4 : Toute modification budgétaire qui dépasse les limites [...], ou qui en provoque le dépassement, ou qui n'est pas prévue [...] doit être approuvée par le directeur de la direction compétente au sein de l'administration pour la coopération non gouvernementale [...].</t>
  </si>
  <si>
    <t>Art. 34, §4: Elke budgetwijziging die de limieten bedoeld [...] overschrijdt of die leidt tot de overschrijding ervan, of die niet [...] wordt voorzien, moet worden goedgekeurd door de directeur van de directie die binnen de administratie bevoegd is voor de niet-gouvernementele samenwerking [...].</t>
  </si>
  <si>
    <t>STRUCTURE DU BUDGET</t>
  </si>
  <si>
    <t>ANNÉE DE RÉALISATION DE L'AJUSTEMENT BUDGÉTAIRE</t>
  </si>
  <si>
    <t>TOTAL AJUSTEMENTS</t>
  </si>
  <si>
    <t>MARGE MAXIMALE (+/-)</t>
  </si>
  <si>
    <t>MARGE %</t>
  </si>
  <si>
    <t>BUDGET AJUSTÉ</t>
  </si>
  <si>
    <t>BUDGETSTRUCTUUR</t>
  </si>
  <si>
    <t>JAAR VAN DE BUDGETTAIRE AANPASSING</t>
  </si>
  <si>
    <t>TOTAAL AANPASSINGEN</t>
  </si>
  <si>
    <t>MAXIMALE MARGE (+/-)</t>
  </si>
  <si>
    <t>AANGEPASTBUDGET</t>
  </si>
  <si>
    <t>COÛTS OPÉRATIONNELS</t>
  </si>
  <si>
    <t>OPERATIONELE KOSTEN</t>
  </si>
  <si>
    <t>CSC</t>
  </si>
  <si>
    <t>GSK</t>
  </si>
  <si>
    <t>Outcome</t>
  </si>
  <si>
    <t>Investissement</t>
  </si>
  <si>
    <t>Investering</t>
  </si>
  <si>
    <t>Fonctionnement</t>
  </si>
  <si>
    <t>Werking</t>
  </si>
  <si>
    <t>Personnel</t>
  </si>
  <si>
    <t>Personeel</t>
  </si>
  <si>
    <t>Hors-CSC</t>
  </si>
  <si>
    <t>Buiten GSK</t>
  </si>
  <si>
    <t>COÛTS DE GESTION</t>
  </si>
  <si>
    <t>BEHEERSKOSTEN</t>
  </si>
  <si>
    <t>Evaluation &amp; Audit</t>
  </si>
  <si>
    <t>Evaluatie &amp; Audit</t>
  </si>
  <si>
    <t>Autres coûts de gestion</t>
  </si>
  <si>
    <t>Andere beheerkosten</t>
  </si>
  <si>
    <t>COÛTS D'ADMINISTRATION</t>
  </si>
  <si>
    <t>ADMINISTRATIEKOSTEN</t>
  </si>
  <si>
    <t>BUDGET INITIAL</t>
  </si>
  <si>
    <t>INITIEEL BUDGET</t>
  </si>
  <si>
    <t>Solidagro vzw</t>
  </si>
  <si>
    <t>België</t>
  </si>
  <si>
    <t>OC1</t>
  </si>
  <si>
    <t>Bolivia</t>
  </si>
  <si>
    <t>OC2</t>
  </si>
  <si>
    <t>Burkina Faso</t>
  </si>
  <si>
    <t>OC3</t>
  </si>
  <si>
    <t>Mali</t>
  </si>
  <si>
    <t>OC4</t>
  </si>
  <si>
    <t>Philippines</t>
  </si>
  <si>
    <t>OC6</t>
  </si>
  <si>
    <t>Senegal</t>
  </si>
  <si>
    <t>OC8</t>
  </si>
  <si>
    <t>COÛTS DIRECTS</t>
  </si>
  <si>
    <t>COÛTS DE STRUCTURE</t>
  </si>
  <si>
    <t>BUDGET TOTAL</t>
  </si>
  <si>
    <t>SUBVENTION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</si>
</sst>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3" fillId="6" borderId="24" xfId="0" applyFont="1" applyFill="1" applyBorder="1" applyAlignment="1">
      <alignment horizontal="center" vertical="top" wrapText="1"/>
    </xf>
    <xf numFmtId="0" fontId="3" fillId="8" borderId="24" xfId="0" applyFont="1" applyFill="1" applyBorder="1" applyAlignment="1">
      <alignment horizontal="center" vertical="top" wrapText="1"/>
    </xf>
    <xf numFmtId="0" fontId="3" fillId="9" borderId="24" xfId="0" applyFont="1" applyFill="1" applyBorder="1" applyAlignment="1">
      <alignment horizontal="center" vertical="top" wrapText="1"/>
    </xf>
    <xf numFmtId="0" fontId="3" fillId="10" borderId="24" xfId="0" applyFont="1" applyFill="1" applyBorder="1" applyAlignment="1">
      <alignment horizontal="center" vertical="top" wrapText="1"/>
    </xf>
    <xf numFmtId="0" fontId="3" fillId="11" borderId="24" xfId="0" applyFont="1" applyFill="1" applyBorder="1" applyAlignment="1">
      <alignment horizontal="center" vertical="top" wrapText="1"/>
    </xf>
    <xf numFmtId="43" fontId="2" fillId="2" borderId="6" xfId="1" applyFont="1" applyFill="1" applyBorder="1"/>
    <xf numFmtId="10" fontId="2" fillId="2" borderId="6" xfId="2" applyNumberFormat="1" applyFont="1" applyFill="1" applyBorder="1" applyAlignment="1">
      <alignment horizontal="center"/>
    </xf>
    <xf numFmtId="43" fontId="2" fillId="2" borderId="7" xfId="1" applyFont="1" applyFill="1" applyBorder="1"/>
    <xf numFmtId="43" fontId="3" fillId="12" borderId="12" xfId="1" applyFont="1" applyFill="1" applyBorder="1"/>
    <xf numFmtId="10" fontId="3" fillId="12" borderId="12" xfId="2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12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43" fontId="2" fillId="4" borderId="12" xfId="1" applyFont="1" applyFill="1" applyBorder="1"/>
    <xf numFmtId="10" fontId="2" fillId="4" borderId="12" xfId="2" applyNumberFormat="1" applyFont="1" applyFill="1" applyBorder="1" applyAlignment="1">
      <alignment horizontal="center"/>
    </xf>
    <xf numFmtId="43" fontId="0" fillId="6" borderId="12" xfId="1" applyFont="1" applyFill="1" applyBorder="1"/>
    <xf numFmtId="10" fontId="0" fillId="6" borderId="12" xfId="2" applyNumberFormat="1" applyFont="1" applyFill="1" applyBorder="1" applyAlignment="1">
      <alignment horizontal="center"/>
    </xf>
    <xf numFmtId="43" fontId="0" fillId="6" borderId="24" xfId="1" applyFont="1" applyFill="1" applyBorder="1"/>
    <xf numFmtId="10" fontId="0" fillId="6" borderId="24" xfId="2" applyNumberFormat="1" applyFont="1" applyFill="1" applyBorder="1" applyAlignment="1">
      <alignment horizontal="center"/>
    </xf>
    <xf numFmtId="43" fontId="0" fillId="6" borderId="9" xfId="1" applyFont="1" applyFill="1" applyBorder="1"/>
    <xf numFmtId="10" fontId="0" fillId="6" borderId="9" xfId="2" applyNumberFormat="1" applyFont="1" applyFill="1" applyBorder="1" applyAlignment="1">
      <alignment horizontal="center"/>
    </xf>
    <xf numFmtId="43" fontId="0" fillId="6" borderId="15" xfId="1" applyFont="1" applyFill="1" applyBorder="1"/>
    <xf numFmtId="10" fontId="0" fillId="6" borderId="15" xfId="2" applyNumberFormat="1" applyFont="1" applyFill="1" applyBorder="1" applyAlignment="1">
      <alignment horizontal="center"/>
    </xf>
    <xf numFmtId="0" fontId="3" fillId="0" borderId="9" xfId="0" applyFont="1" applyBorder="1" applyProtection="1">
      <protection locked="0"/>
    </xf>
    <xf numFmtId="0" fontId="0" fillId="0" borderId="12" xfId="0" applyBorder="1" applyProtection="1">
      <protection locked="0"/>
    </xf>
    <xf numFmtId="43" fontId="0" fillId="0" borderId="12" xfId="1" applyFont="1" applyFill="1" applyBorder="1" applyProtection="1">
      <protection locked="0"/>
    </xf>
    <xf numFmtId="43" fontId="0" fillId="0" borderId="24" xfId="1" applyFont="1" applyFill="1" applyBorder="1" applyProtection="1">
      <protection locked="0"/>
    </xf>
    <xf numFmtId="43" fontId="0" fillId="0" borderId="9" xfId="1" applyFont="1" applyFill="1" applyBorder="1" applyProtection="1">
      <protection locked="0"/>
    </xf>
    <xf numFmtId="43" fontId="0" fillId="0" borderId="15" xfId="1" applyFont="1" applyFill="1" applyBorder="1" applyProtection="1">
      <protection locked="0"/>
    </xf>
    <xf numFmtId="0" fontId="3" fillId="0" borderId="12" xfId="0" applyFont="1" applyBorder="1" applyProtection="1">
      <protection locked="0"/>
    </xf>
    <xf numFmtId="43" fontId="3" fillId="13" borderId="13" xfId="1" applyFont="1" applyFill="1" applyBorder="1"/>
    <xf numFmtId="43" fontId="0" fillId="14" borderId="13" xfId="1" applyFont="1" applyFill="1" applyBorder="1"/>
    <xf numFmtId="43" fontId="0" fillId="14" borderId="10" xfId="1" applyFont="1" applyFill="1" applyBorder="1"/>
    <xf numFmtId="43" fontId="0" fillId="14" borderId="16" xfId="1" applyFont="1" applyFill="1" applyBorder="1"/>
    <xf numFmtId="43" fontId="3" fillId="15" borderId="10" xfId="1" applyFont="1" applyFill="1" applyBorder="1"/>
    <xf numFmtId="43" fontId="3" fillId="15" borderId="13" xfId="1" applyFont="1" applyFill="1" applyBorder="1"/>
    <xf numFmtId="43" fontId="2" fillId="15" borderId="13" xfId="1" applyFont="1" applyFill="1" applyBorder="1"/>
    <xf numFmtId="43" fontId="2" fillId="4" borderId="9" xfId="1" applyFont="1" applyFill="1" applyBorder="1"/>
    <xf numFmtId="10" fontId="2" fillId="4" borderId="9" xfId="2" applyNumberFormat="1" applyFont="1" applyFill="1" applyBorder="1" applyAlignment="1">
      <alignment horizontal="center"/>
    </xf>
    <xf numFmtId="0" fontId="5" fillId="17" borderId="6" xfId="0" applyFont="1" applyFill="1" applyBorder="1"/>
    <xf numFmtId="0" fontId="5" fillId="17" borderId="9" xfId="0" applyFont="1" applyFill="1" applyBorder="1"/>
    <xf numFmtId="0" fontId="0" fillId="0" borderId="0" xfId="0" applyAlignment="1">
      <alignment wrapText="1"/>
    </xf>
    <xf numFmtId="43" fontId="5" fillId="17" borderId="9" xfId="0" applyNumberFormat="1" applyFont="1" applyFill="1" applyBorder="1"/>
    <xf numFmtId="0" fontId="0" fillId="6" borderId="11" xfId="0" applyFill="1" applyBorder="1" applyAlignment="1">
      <alignment horizontal="left" indent="2"/>
    </xf>
    <xf numFmtId="0" fontId="0" fillId="6" borderId="12" xfId="0" applyFill="1" applyBorder="1" applyAlignment="1">
      <alignment horizontal="left" indent="2"/>
    </xf>
    <xf numFmtId="0" fontId="2" fillId="7" borderId="21" xfId="0" applyFont="1" applyFill="1" applyBorder="1" applyAlignment="1">
      <alignment horizontal="center" vertical="top" wrapText="1"/>
    </xf>
    <xf numFmtId="0" fontId="2" fillId="7" borderId="24" xfId="0" applyFont="1" applyFill="1" applyBorder="1" applyAlignment="1">
      <alignment horizontal="center" vertical="top" wrapText="1"/>
    </xf>
    <xf numFmtId="0" fontId="0" fillId="6" borderId="23" xfId="0" applyFill="1" applyBorder="1" applyAlignment="1">
      <alignment horizontal="left" indent="2"/>
    </xf>
    <xf numFmtId="0" fontId="0" fillId="6" borderId="24" xfId="0" applyFill="1" applyBorder="1" applyAlignment="1">
      <alignment horizontal="left" indent="2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18" xfId="0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5" borderId="29" xfId="0" applyFill="1" applyBorder="1" applyAlignment="1">
      <alignment horizontal="left" vertical="center" wrapText="1"/>
    </xf>
    <xf numFmtId="0" fontId="0" fillId="5" borderId="27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6" borderId="15" xfId="0" applyFill="1" applyBorder="1" applyAlignment="1" applyProtection="1">
      <alignment horizontal="left" vertical="center" wrapText="1"/>
      <protection locked="0"/>
    </xf>
    <xf numFmtId="0" fontId="0" fillId="6" borderId="16" xfId="0" applyFill="1" applyBorder="1" applyAlignment="1" applyProtection="1">
      <alignment horizontal="left" vertical="center" wrapText="1"/>
      <protection locked="0"/>
    </xf>
    <xf numFmtId="0" fontId="0" fillId="6" borderId="14" xfId="0" applyFill="1" applyBorder="1" applyAlignment="1">
      <alignment horizontal="left" indent="2"/>
    </xf>
    <xf numFmtId="0" fontId="0" fillId="6" borderId="15" xfId="0" applyFill="1" applyBorder="1" applyAlignment="1">
      <alignment horizontal="left" indent="2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0" fillId="6" borderId="8" xfId="0" applyFill="1" applyBorder="1" applyAlignment="1">
      <alignment horizontal="left" indent="2"/>
    </xf>
    <xf numFmtId="0" fontId="0" fillId="6" borderId="9" xfId="0" applyFill="1" applyBorder="1" applyAlignment="1">
      <alignment horizontal="left" indent="2"/>
    </xf>
    <xf numFmtId="0" fontId="6" fillId="9" borderId="1" xfId="0" applyFont="1" applyFill="1" applyBorder="1" applyAlignment="1">
      <alignment horizontal="left" wrapText="1"/>
    </xf>
    <xf numFmtId="0" fontId="6" fillId="9" borderId="2" xfId="0" applyFont="1" applyFill="1" applyBorder="1" applyAlignment="1">
      <alignment horizontal="left" wrapText="1"/>
    </xf>
    <xf numFmtId="0" fontId="6" fillId="9" borderId="4" xfId="0" applyFont="1" applyFill="1" applyBorder="1" applyAlignment="1">
      <alignment horizontal="left" wrapText="1"/>
    </xf>
    <xf numFmtId="0" fontId="2" fillId="16" borderId="22" xfId="0" applyFont="1" applyFill="1" applyBorder="1" applyAlignment="1">
      <alignment horizontal="center" vertical="top" wrapText="1"/>
    </xf>
    <xf numFmtId="0" fontId="2" fillId="16" borderId="25" xfId="0" applyFont="1" applyFill="1" applyBorder="1" applyAlignment="1">
      <alignment horizontal="center" vertical="top" wrapText="1"/>
    </xf>
    <xf numFmtId="0" fontId="2" fillId="7" borderId="20" xfId="0" applyFont="1" applyFill="1" applyBorder="1" applyAlignment="1">
      <alignment horizontal="center" vertical="top" wrapText="1"/>
    </xf>
    <xf numFmtId="0" fontId="2" fillId="7" borderId="23" xfId="0" applyFont="1" applyFill="1" applyBorder="1" applyAlignment="1">
      <alignment horizontal="center" vertical="top" wrapText="1"/>
    </xf>
    <xf numFmtId="0" fontId="2" fillId="18" borderId="5" xfId="0" applyFont="1" applyFill="1" applyBorder="1" applyAlignment="1">
      <alignment horizontal="left"/>
    </xf>
    <xf numFmtId="0" fontId="2" fillId="18" borderId="6" xfId="0" applyFont="1" applyFill="1" applyBorder="1" applyAlignment="1">
      <alignment horizontal="left"/>
    </xf>
    <xf numFmtId="43" fontId="2" fillId="18" borderId="6" xfId="1" applyFont="1" applyFill="1" applyBorder="1"/>
    <xf numFmtId="10" fontId="2" fillId="18" borderId="6" xfId="2" applyNumberFormat="1" applyFont="1" applyFill="1" applyBorder="1" applyAlignment="1">
      <alignment horizontal="center"/>
    </xf>
    <xf numFmtId="43" fontId="2" fillId="18" borderId="7" xfId="1" applyFont="1" applyFill="1" applyBorder="1"/>
    <xf numFmtId="43" fontId="2" fillId="2" borderId="6" xfId="1" applyFont="1" applyFill="1" applyBorder="1" applyProtection="1">
      <protection locked="0"/>
    </xf>
  </cellXfs>
  <cellStyles count="3">
    <cellStyle name="Milliers" xfId="1" builtinId="3"/>
    <cellStyle name="Normal" xfId="0" builtinId="0"/>
    <cellStyle name="Pourcentage" xfId="2" builtinId="5"/>
  </cellStyles>
  <dxfs count="16"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34D2A-F616-4E9D-8A5D-44D5DAC31823}">
  <sheetPr>
    <pageSetUpPr fitToPage="1"/>
  </sheetPr>
  <dimension ref="A1:AQ84"/>
  <sheetViews>
    <sheetView showGridLines="0" tabSelected="1" zoomScale="80" zoomScaleNormal="80" workbookViewId="0">
      <pane ySplit="13" topLeftCell="A37" activePane="bottomLeft" state="frozen"/>
      <selection pane="bottomLeft" activeCell="F80" sqref="F80"/>
    </sheetView>
  </sheetViews>
  <sheetFormatPr baseColWidth="10" defaultColWidth="0" defaultRowHeight="14.4" zeroHeight="1" x14ac:dyDescent="0.3"/>
  <cols>
    <col min="1" max="1" width="1.6640625" customWidth="1"/>
    <col min="2" max="2" width="10.6640625" customWidth="1"/>
    <col min="3" max="3" width="20.6640625" customWidth="1"/>
    <col min="4" max="10" width="18.6640625" customWidth="1"/>
    <col min="11" max="11" width="3.6640625" customWidth="1"/>
    <col min="12" max="12" width="18.6640625" customWidth="1"/>
    <col min="13" max="13" width="11.5546875" customWidth="1"/>
    <col min="14" max="14" width="18.6640625" customWidth="1"/>
    <col min="15" max="15" width="1.6640625" customWidth="1"/>
    <col min="16" max="24" width="11.5546875" hidden="1" customWidth="1"/>
    <col min="25" max="25" width="3.6640625" hidden="1" customWidth="1"/>
    <col min="26" max="28" width="11.5546875" hidden="1" customWidth="1"/>
    <col min="29" max="29" width="1.6640625" hidden="1" customWidth="1"/>
    <col min="30" max="38" width="11.5546875" hidden="1" customWidth="1"/>
    <col min="39" max="39" width="3.6640625" hidden="1" customWidth="1"/>
    <col min="40" max="42" width="11.5546875" hidden="1" customWidth="1"/>
    <col min="43" max="43" width="1.6640625" hidden="1" customWidth="1"/>
    <col min="44" max="16384" width="11.5546875" hidden="1"/>
  </cols>
  <sheetData>
    <row r="1" spans="2:42" ht="4.95" customHeight="1" thickBot="1" x14ac:dyDescent="0.35"/>
    <row r="2" spans="2:42" ht="21.6" thickBot="1" x14ac:dyDescent="0.35">
      <c r="B2" s="52" t="str">
        <f>IF($N$2="FR",P2,AD2)</f>
        <v>OPVOLGING VAN DE BUDGETTAIRE AANPASSINGEN</v>
      </c>
      <c r="C2" s="53"/>
      <c r="D2" s="53">
        <f t="shared" ref="D2:J2" si="0">IF($N$2="FR",R2,AF2)</f>
        <v>0</v>
      </c>
      <c r="E2" s="53">
        <f t="shared" si="0"/>
        <v>0</v>
      </c>
      <c r="F2" s="53">
        <f t="shared" si="0"/>
        <v>0</v>
      </c>
      <c r="G2" s="53">
        <f t="shared" si="0"/>
        <v>0</v>
      </c>
      <c r="H2" s="53">
        <f t="shared" si="0"/>
        <v>0</v>
      </c>
      <c r="I2" s="53">
        <f t="shared" si="0"/>
        <v>0</v>
      </c>
      <c r="J2" s="53">
        <f t="shared" si="0"/>
        <v>0</v>
      </c>
      <c r="K2" s="53"/>
      <c r="L2" s="54">
        <f>IF($N$2="FR",Y2,AN2)</f>
        <v>0</v>
      </c>
      <c r="M2" s="1" t="str">
        <f>IF($N$2="FR",AA2,AO2)</f>
        <v>TAAL:</v>
      </c>
      <c r="N2" s="2" t="s">
        <v>5</v>
      </c>
      <c r="P2" t="s">
        <v>1</v>
      </c>
      <c r="AA2" t="s">
        <v>2</v>
      </c>
      <c r="AB2" t="s">
        <v>0</v>
      </c>
      <c r="AD2" t="s">
        <v>3</v>
      </c>
      <c r="AO2" t="s">
        <v>4</v>
      </c>
    </row>
    <row r="3" spans="2:42" ht="4.95" customHeight="1" thickBot="1" x14ac:dyDescent="0.35">
      <c r="AB3" t="s">
        <v>5</v>
      </c>
    </row>
    <row r="4" spans="2:42" ht="15" thickBot="1" x14ac:dyDescent="0.35">
      <c r="B4" s="66" t="str">
        <f>IF($N$2="FR",P4,AD4)</f>
        <v>IDENTIFICATIE VAN DE NGA EN VAN HET PROGRAMMA</v>
      </c>
      <c r="C4" s="67"/>
      <c r="D4" s="67">
        <f t="shared" ref="D4:J4" si="1">IF($N$2="FR",R4,AF4)</f>
        <v>0</v>
      </c>
      <c r="E4" s="67">
        <f t="shared" si="1"/>
        <v>0</v>
      </c>
      <c r="F4" s="67">
        <f t="shared" si="1"/>
        <v>0</v>
      </c>
      <c r="G4" s="67">
        <f t="shared" si="1"/>
        <v>0</v>
      </c>
      <c r="H4" s="67">
        <f t="shared" si="1"/>
        <v>0</v>
      </c>
      <c r="I4" s="67">
        <f t="shared" si="1"/>
        <v>0</v>
      </c>
      <c r="J4" s="67">
        <f t="shared" si="1"/>
        <v>0</v>
      </c>
      <c r="K4" s="67"/>
      <c r="L4" s="67">
        <f>IF($N$2="FR",Y4,AN4)</f>
        <v>0</v>
      </c>
      <c r="M4" s="67">
        <f>IF($N$2="FR",AA4,AO4)</f>
        <v>0</v>
      </c>
      <c r="N4" s="68">
        <f>IF($N$2="FR",AB4,AP4)</f>
        <v>0</v>
      </c>
      <c r="P4" t="s">
        <v>6</v>
      </c>
      <c r="AD4" t="s">
        <v>7</v>
      </c>
    </row>
    <row r="5" spans="2:42" x14ac:dyDescent="0.3">
      <c r="B5" s="55" t="str">
        <f>IF($N$2="FR",P5,AD5)</f>
        <v>Naam van de NGA:</v>
      </c>
      <c r="C5" s="56"/>
      <c r="D5" s="57">
        <f t="shared" ref="D5:E8" si="2">IF($N$2="FR",R5,AF5)</f>
        <v>0</v>
      </c>
      <c r="E5" s="57">
        <f t="shared" si="2"/>
        <v>0</v>
      </c>
      <c r="F5" s="69" t="s">
        <v>53</v>
      </c>
      <c r="G5" s="69"/>
      <c r="H5" s="69"/>
      <c r="I5" s="69"/>
      <c r="J5" s="69"/>
      <c r="K5" s="69"/>
      <c r="L5" s="69"/>
      <c r="M5" s="69"/>
      <c r="N5" s="70"/>
      <c r="P5" t="s">
        <v>8</v>
      </c>
      <c r="AD5" t="s">
        <v>9</v>
      </c>
    </row>
    <row r="6" spans="2:42" x14ac:dyDescent="0.3">
      <c r="B6" s="58" t="str">
        <f>IF($N$2="FR",P6,AD6)</f>
        <v>Programmeringscyclus :</v>
      </c>
      <c r="C6" s="59"/>
      <c r="D6" s="60">
        <f t="shared" si="2"/>
        <v>0</v>
      </c>
      <c r="E6" s="60">
        <f t="shared" si="2"/>
        <v>0</v>
      </c>
      <c r="F6" s="71" t="s">
        <v>10</v>
      </c>
      <c r="G6" s="71"/>
      <c r="H6" s="71"/>
      <c r="I6" s="71"/>
      <c r="J6" s="71"/>
      <c r="K6" s="71"/>
      <c r="L6" s="71"/>
      <c r="M6" s="71"/>
      <c r="N6" s="72"/>
      <c r="P6" t="s">
        <v>11</v>
      </c>
      <c r="AD6" t="s">
        <v>12</v>
      </c>
    </row>
    <row r="7" spans="2:42" x14ac:dyDescent="0.3">
      <c r="B7" s="61" t="str">
        <f>IF($N$2="FR",P7,AD7)</f>
        <v>Jaar van de verantwoording:</v>
      </c>
      <c r="C7" s="62"/>
      <c r="D7" s="62">
        <f t="shared" si="2"/>
        <v>0</v>
      </c>
      <c r="E7" s="59">
        <f t="shared" si="2"/>
        <v>0</v>
      </c>
      <c r="F7" s="73">
        <v>2022</v>
      </c>
      <c r="G7" s="74"/>
      <c r="H7" s="74"/>
      <c r="I7" s="74"/>
      <c r="J7" s="74"/>
      <c r="K7" s="74"/>
      <c r="L7" s="74"/>
      <c r="M7" s="74"/>
      <c r="N7" s="75"/>
      <c r="P7" t="s">
        <v>13</v>
      </c>
      <c r="AD7" t="s">
        <v>14</v>
      </c>
    </row>
    <row r="8" spans="2:42" ht="15" thickBot="1" x14ac:dyDescent="0.35">
      <c r="B8" s="63" t="str">
        <f>IF($N$2="FR",P8,AD8)</f>
        <v>P.O nummer (Bestelbon - 4500XXXXXX):</v>
      </c>
      <c r="C8" s="64"/>
      <c r="D8" s="65">
        <f t="shared" si="2"/>
        <v>0</v>
      </c>
      <c r="E8" s="65">
        <f t="shared" si="2"/>
        <v>0</v>
      </c>
      <c r="F8" s="76">
        <v>4500794784</v>
      </c>
      <c r="G8" s="76"/>
      <c r="H8" s="76"/>
      <c r="I8" s="76"/>
      <c r="J8" s="76"/>
      <c r="K8" s="76"/>
      <c r="L8" s="76"/>
      <c r="M8" s="76"/>
      <c r="N8" s="77"/>
      <c r="P8" t="s">
        <v>15</v>
      </c>
      <c r="AD8" t="s">
        <v>16</v>
      </c>
    </row>
    <row r="9" spans="2:42" ht="4.95" customHeight="1" thickBot="1" x14ac:dyDescent="0.35"/>
    <row r="10" spans="2:42" s="44" customFormat="1" ht="30" customHeight="1" thickBot="1" x14ac:dyDescent="0.35">
      <c r="B10" s="84" t="str">
        <f t="shared" ref="B10:N10" si="3">IF($N$2="FR",P10,AD10)</f>
        <v>Art. 34, §4: Elke budgetwijziging die de limieten bedoeld [...] overschrijdt of die leidt tot de overschrijding ervan, of die niet [...] wordt voorzien, moet worden goedgekeurd door de directeur van de directie die binnen de administratie bevoegd is voor de niet-gouvernementele samenwerking [...].</v>
      </c>
      <c r="C10" s="85">
        <f t="shared" si="3"/>
        <v>0</v>
      </c>
      <c r="D10" s="85">
        <f t="shared" si="3"/>
        <v>0</v>
      </c>
      <c r="E10" s="85">
        <f t="shared" si="3"/>
        <v>0</v>
      </c>
      <c r="F10" s="85">
        <f t="shared" si="3"/>
        <v>0</v>
      </c>
      <c r="G10" s="85">
        <f t="shared" si="3"/>
        <v>0</v>
      </c>
      <c r="H10" s="85">
        <f t="shared" si="3"/>
        <v>0</v>
      </c>
      <c r="I10" s="85">
        <f t="shared" si="3"/>
        <v>0</v>
      </c>
      <c r="J10" s="85">
        <f t="shared" si="3"/>
        <v>0</v>
      </c>
      <c r="K10" s="85">
        <f t="shared" si="3"/>
        <v>0</v>
      </c>
      <c r="L10" s="85">
        <f t="shared" si="3"/>
        <v>0</v>
      </c>
      <c r="M10" s="85">
        <f t="shared" si="3"/>
        <v>0</v>
      </c>
      <c r="N10" s="86">
        <f t="shared" si="3"/>
        <v>0</v>
      </c>
      <c r="P10" t="s">
        <v>17</v>
      </c>
      <c r="AD10" t="s">
        <v>18</v>
      </c>
    </row>
    <row r="11" spans="2:42" ht="15" thickBot="1" x14ac:dyDescent="0.35"/>
    <row r="12" spans="2:42" ht="14.4" customHeight="1" x14ac:dyDescent="0.3">
      <c r="B12" s="89" t="str">
        <f t="shared" ref="B12:B75" si="4">IF($N$2="FR",P12,AD12)</f>
        <v>BUDGETSTRUCTUUR</v>
      </c>
      <c r="C12" s="48">
        <f t="shared" ref="C12:E13" si="5">IF($N$2="FR",Q12,AE12)</f>
        <v>0</v>
      </c>
      <c r="D12" s="48" t="str">
        <f t="shared" si="5"/>
        <v>INITIEEL BUDGET</v>
      </c>
      <c r="E12" s="48" t="str">
        <f t="shared" si="5"/>
        <v>JAAR VAN DE BUDGETTAIRE AANPASSING</v>
      </c>
      <c r="F12" s="48"/>
      <c r="G12" s="48"/>
      <c r="H12" s="48"/>
      <c r="I12" s="48"/>
      <c r="J12" s="48" t="str">
        <f t="shared" ref="J12:N13" si="6">IF($N$2="FR",X12,AL12)</f>
        <v>TOTAAL AANPASSINGEN</v>
      </c>
      <c r="K12" s="48"/>
      <c r="L12" s="48" t="str">
        <f t="shared" si="6"/>
        <v>MAXIMALE MARGE (+/-)</v>
      </c>
      <c r="M12" s="48" t="str">
        <f t="shared" si="6"/>
        <v>MARGE %</v>
      </c>
      <c r="N12" s="87" t="str">
        <f t="shared" si="6"/>
        <v>AANGEPASTBUDGET</v>
      </c>
      <c r="P12" t="s">
        <v>19</v>
      </c>
      <c r="R12" t="s">
        <v>51</v>
      </c>
      <c r="S12" t="s">
        <v>20</v>
      </c>
      <c r="X12" t="s">
        <v>21</v>
      </c>
      <c r="Z12" t="s">
        <v>22</v>
      </c>
      <c r="AA12" t="s">
        <v>23</v>
      </c>
      <c r="AB12" t="s">
        <v>24</v>
      </c>
      <c r="AD12" t="s">
        <v>25</v>
      </c>
      <c r="AF12" t="s">
        <v>52</v>
      </c>
      <c r="AG12" t="s">
        <v>26</v>
      </c>
      <c r="AL12" t="s">
        <v>27</v>
      </c>
      <c r="AN12" t="s">
        <v>28</v>
      </c>
      <c r="AO12" t="s">
        <v>23</v>
      </c>
      <c r="AP12" t="s">
        <v>29</v>
      </c>
    </row>
    <row r="13" spans="2:42" ht="15" thickBot="1" x14ac:dyDescent="0.35">
      <c r="B13" s="90">
        <f t="shared" si="4"/>
        <v>0</v>
      </c>
      <c r="C13" s="49">
        <f t="shared" si="5"/>
        <v>0</v>
      </c>
      <c r="D13" s="49">
        <f t="shared" si="5"/>
        <v>0</v>
      </c>
      <c r="E13" s="3">
        <v>2022</v>
      </c>
      <c r="F13" s="4">
        <v>2023</v>
      </c>
      <c r="G13" s="5">
        <v>2024</v>
      </c>
      <c r="H13" s="6">
        <v>2025</v>
      </c>
      <c r="I13" s="7">
        <v>2026</v>
      </c>
      <c r="J13" s="49"/>
      <c r="K13" s="49"/>
      <c r="L13" s="49">
        <f t="shared" si="6"/>
        <v>0</v>
      </c>
      <c r="M13" s="49">
        <f t="shared" si="6"/>
        <v>0</v>
      </c>
      <c r="N13" s="88">
        <f t="shared" si="6"/>
        <v>0</v>
      </c>
      <c r="S13">
        <v>2022</v>
      </c>
      <c r="T13">
        <v>2023</v>
      </c>
      <c r="U13">
        <v>2024</v>
      </c>
      <c r="V13">
        <v>2025</v>
      </c>
      <c r="W13">
        <v>2026</v>
      </c>
      <c r="AG13">
        <v>2022</v>
      </c>
      <c r="AH13">
        <v>2023</v>
      </c>
      <c r="AI13">
        <v>2024</v>
      </c>
      <c r="AJ13">
        <v>2025</v>
      </c>
      <c r="AK13">
        <v>2026</v>
      </c>
    </row>
    <row r="14" spans="2:42" ht="15" thickBot="1" x14ac:dyDescent="0.35">
      <c r="B14" s="80" t="str">
        <f>IF($N$2="FR",P14,AD14)</f>
        <v>OPERATIONELE KOSTEN</v>
      </c>
      <c r="C14" s="81"/>
      <c r="D14" s="8">
        <f>SUM(D15+D20+D25+D30+D35+D40+D45+D54+D59)</f>
        <v>9632907.2067773212</v>
      </c>
      <c r="E14" s="8">
        <f t="shared" ref="E14:I14" si="7">SUM(E15+E20+E25+E30+E35+E40+E45+E54+E59)</f>
        <v>0</v>
      </c>
      <c r="F14" s="8">
        <f t="shared" si="7"/>
        <v>200987.84000000457</v>
      </c>
      <c r="G14" s="8">
        <f t="shared" si="7"/>
        <v>0</v>
      </c>
      <c r="H14" s="8">
        <f t="shared" si="7"/>
        <v>0</v>
      </c>
      <c r="I14" s="8">
        <f t="shared" si="7"/>
        <v>0</v>
      </c>
      <c r="J14" s="8">
        <f>SUM(E14+F14+G14+H14+I14)</f>
        <v>200987.84000000457</v>
      </c>
      <c r="K14" s="42">
        <f>ABS(J14)</f>
        <v>200987.84000000457</v>
      </c>
      <c r="L14" s="8">
        <v>0</v>
      </c>
      <c r="M14" s="9">
        <v>0</v>
      </c>
      <c r="N14" s="10">
        <f t="shared" ref="N14" si="8">D14+J14</f>
        <v>9833895.0467773266</v>
      </c>
      <c r="P14" t="s">
        <v>30</v>
      </c>
      <c r="AD14" t="s">
        <v>31</v>
      </c>
    </row>
    <row r="15" spans="2:42" x14ac:dyDescent="0.3">
      <c r="B15" s="13" t="str">
        <f t="shared" si="4"/>
        <v>GSK</v>
      </c>
      <c r="C15" s="26" t="s">
        <v>54</v>
      </c>
      <c r="D15" s="40">
        <f t="shared" ref="D15:I15" si="9">D16</f>
        <v>1397865.443062441</v>
      </c>
      <c r="E15" s="40">
        <f t="shared" si="9"/>
        <v>0</v>
      </c>
      <c r="F15" s="40">
        <f t="shared" si="9"/>
        <v>109999.99999999904</v>
      </c>
      <c r="G15" s="40">
        <f t="shared" si="9"/>
        <v>0</v>
      </c>
      <c r="H15" s="40">
        <f t="shared" si="9"/>
        <v>0</v>
      </c>
      <c r="I15" s="40">
        <f t="shared" si="9"/>
        <v>0</v>
      </c>
      <c r="J15" s="40">
        <f t="shared" ref="J15:J75" si="10">SUM(E15+F15+G15+H15+I15)</f>
        <v>109999.99999999904</v>
      </c>
      <c r="K15" s="43">
        <f t="shared" ref="K15:K75" si="11">ABS(J15)</f>
        <v>109999.99999999904</v>
      </c>
      <c r="L15" s="40">
        <f>MAX(10000,(D15*M15))</f>
        <v>139786.54430624409</v>
      </c>
      <c r="M15" s="41">
        <v>0.1</v>
      </c>
      <c r="N15" s="37">
        <f>D15+J15</f>
        <v>1507865.44306244</v>
      </c>
      <c r="P15" t="s">
        <v>32</v>
      </c>
      <c r="AD15" t="s">
        <v>33</v>
      </c>
    </row>
    <row r="16" spans="2:42" x14ac:dyDescent="0.3">
      <c r="B16" s="14" t="str">
        <f t="shared" si="4"/>
        <v>Outcome</v>
      </c>
      <c r="C16" s="32" t="s">
        <v>55</v>
      </c>
      <c r="D16" s="11">
        <f t="shared" ref="D16:I16" si="12">SUM(D17+D18+D19)</f>
        <v>1397865.443062441</v>
      </c>
      <c r="E16" s="11">
        <f t="shared" si="12"/>
        <v>0</v>
      </c>
      <c r="F16" s="11">
        <f t="shared" si="12"/>
        <v>109999.99999999904</v>
      </c>
      <c r="G16" s="11">
        <f t="shared" si="12"/>
        <v>0</v>
      </c>
      <c r="H16" s="11">
        <f t="shared" si="12"/>
        <v>0</v>
      </c>
      <c r="I16" s="11">
        <f t="shared" si="12"/>
        <v>0</v>
      </c>
      <c r="J16" s="11">
        <f t="shared" si="10"/>
        <v>109999.99999999904</v>
      </c>
      <c r="K16" s="43">
        <f t="shared" si="11"/>
        <v>109999.99999999904</v>
      </c>
      <c r="L16" s="11">
        <f t="shared" ref="L16:L58" si="13">MAX(10000,(D16*M16))</f>
        <v>279573.08861248818</v>
      </c>
      <c r="M16" s="12">
        <v>0.2</v>
      </c>
      <c r="N16" s="33">
        <f t="shared" ref="N16:N75" si="14">D16+J16</f>
        <v>1507865.44306244</v>
      </c>
      <c r="P16" t="s">
        <v>34</v>
      </c>
      <c r="AD16" t="s">
        <v>34</v>
      </c>
    </row>
    <row r="17" spans="2:30" x14ac:dyDescent="0.3">
      <c r="B17" s="46" t="str">
        <f t="shared" si="4"/>
        <v>Investering</v>
      </c>
      <c r="C17" s="47"/>
      <c r="D17" s="28">
        <v>5000</v>
      </c>
      <c r="E17" s="28"/>
      <c r="F17" s="28">
        <f>5000-D17</f>
        <v>0</v>
      </c>
      <c r="G17" s="28"/>
      <c r="H17" s="28"/>
      <c r="I17" s="28"/>
      <c r="J17" s="18">
        <f t="shared" si="10"/>
        <v>0</v>
      </c>
      <c r="K17" s="43">
        <f t="shared" si="11"/>
        <v>0</v>
      </c>
      <c r="L17" s="18">
        <f t="shared" si="13"/>
        <v>10000</v>
      </c>
      <c r="M17" s="19">
        <v>0.3</v>
      </c>
      <c r="N17" s="34">
        <f t="shared" si="14"/>
        <v>5000</v>
      </c>
      <c r="P17" t="s">
        <v>35</v>
      </c>
      <c r="AD17" t="s">
        <v>36</v>
      </c>
    </row>
    <row r="18" spans="2:30" x14ac:dyDescent="0.3">
      <c r="B18" s="46" t="str">
        <f t="shared" si="4"/>
        <v>Werking</v>
      </c>
      <c r="C18" s="47"/>
      <c r="D18" s="28">
        <v>248360.17</v>
      </c>
      <c r="E18" s="28"/>
      <c r="F18" s="28">
        <f>278360.17-D18</f>
        <v>29999.999999999971</v>
      </c>
      <c r="G18" s="28"/>
      <c r="H18" s="28"/>
      <c r="I18" s="28"/>
      <c r="J18" s="18">
        <f t="shared" si="10"/>
        <v>29999.999999999971</v>
      </c>
      <c r="K18" s="43">
        <f t="shared" si="11"/>
        <v>29999.999999999971</v>
      </c>
      <c r="L18" s="18">
        <f t="shared" si="13"/>
        <v>74508.051000000007</v>
      </c>
      <c r="M18" s="19">
        <v>0.3</v>
      </c>
      <c r="N18" s="34">
        <f t="shared" si="14"/>
        <v>278360.17</v>
      </c>
      <c r="P18" t="s">
        <v>37</v>
      </c>
      <c r="AD18" t="s">
        <v>38</v>
      </c>
    </row>
    <row r="19" spans="2:30" x14ac:dyDescent="0.3">
      <c r="B19" s="46" t="str">
        <f t="shared" si="4"/>
        <v>Personeel</v>
      </c>
      <c r="C19" s="47"/>
      <c r="D19" s="28">
        <v>1144505.273062441</v>
      </c>
      <c r="E19" s="28"/>
      <c r="F19" s="28">
        <f>1224505.27306244-D19</f>
        <v>79999.999999999069</v>
      </c>
      <c r="G19" s="28"/>
      <c r="H19" s="28"/>
      <c r="I19" s="28"/>
      <c r="J19" s="18">
        <f t="shared" si="10"/>
        <v>79999.999999999069</v>
      </c>
      <c r="K19" s="43">
        <f t="shared" si="11"/>
        <v>79999.999999999069</v>
      </c>
      <c r="L19" s="18">
        <f t="shared" si="13"/>
        <v>343351.58191873232</v>
      </c>
      <c r="M19" s="19">
        <v>0.3</v>
      </c>
      <c r="N19" s="34">
        <f t="shared" si="14"/>
        <v>1224505.2730624401</v>
      </c>
      <c r="P19" t="s">
        <v>39</v>
      </c>
      <c r="AD19" t="s">
        <v>40</v>
      </c>
    </row>
    <row r="20" spans="2:30" x14ac:dyDescent="0.3">
      <c r="B20" s="13" t="str">
        <f t="shared" ref="B20:B29" si="15">IF($N$2="FR",P20,AD20)</f>
        <v>GSK</v>
      </c>
      <c r="C20" s="26" t="s">
        <v>56</v>
      </c>
      <c r="D20" s="40">
        <f t="shared" ref="D20:I20" si="16">D21</f>
        <v>1282483.6796742138</v>
      </c>
      <c r="E20" s="40">
        <f t="shared" si="16"/>
        <v>0</v>
      </c>
      <c r="F20" s="40">
        <f t="shared" si="16"/>
        <v>13377.000000000466</v>
      </c>
      <c r="G20" s="40">
        <f t="shared" si="16"/>
        <v>0</v>
      </c>
      <c r="H20" s="40">
        <f t="shared" si="16"/>
        <v>0</v>
      </c>
      <c r="I20" s="40">
        <f t="shared" si="16"/>
        <v>0</v>
      </c>
      <c r="J20" s="40">
        <f t="shared" ref="J20:J29" si="17">SUM(E20+F20+G20+H20+I20)</f>
        <v>13377.000000000466</v>
      </c>
      <c r="K20" s="43">
        <f t="shared" ref="K20:K29" si="18">ABS(J20)</f>
        <v>13377.000000000466</v>
      </c>
      <c r="L20" s="40">
        <f>MAX(10000,(D20*M20))</f>
        <v>128248.36796742138</v>
      </c>
      <c r="M20" s="41">
        <v>0.1</v>
      </c>
      <c r="N20" s="37">
        <f>D20+J20</f>
        <v>1295860.6796742142</v>
      </c>
      <c r="P20" t="s">
        <v>32</v>
      </c>
      <c r="AD20" t="s">
        <v>33</v>
      </c>
    </row>
    <row r="21" spans="2:30" x14ac:dyDescent="0.3">
      <c r="B21" s="14" t="str">
        <f t="shared" si="15"/>
        <v>Outcome</v>
      </c>
      <c r="C21" s="32" t="s">
        <v>57</v>
      </c>
      <c r="D21" s="11">
        <f t="shared" ref="D21:I21" si="19">SUM(D22+D23+D24)</f>
        <v>1282483.6796742138</v>
      </c>
      <c r="E21" s="11">
        <f t="shared" si="19"/>
        <v>0</v>
      </c>
      <c r="F21" s="11">
        <f t="shared" si="19"/>
        <v>13377.000000000466</v>
      </c>
      <c r="G21" s="11">
        <f t="shared" si="19"/>
        <v>0</v>
      </c>
      <c r="H21" s="11">
        <f t="shared" si="19"/>
        <v>0</v>
      </c>
      <c r="I21" s="11">
        <f t="shared" si="19"/>
        <v>0</v>
      </c>
      <c r="J21" s="11">
        <f t="shared" si="17"/>
        <v>13377.000000000466</v>
      </c>
      <c r="K21" s="43">
        <f t="shared" si="18"/>
        <v>13377.000000000466</v>
      </c>
      <c r="L21" s="11">
        <f t="shared" ref="L21:L24" si="20">MAX(10000,(D21*M21))</f>
        <v>256496.73593484276</v>
      </c>
      <c r="M21" s="12">
        <v>0.2</v>
      </c>
      <c r="N21" s="33">
        <f t="shared" ref="N21:N24" si="21">D21+J21</f>
        <v>1295860.6796742142</v>
      </c>
      <c r="P21" t="s">
        <v>34</v>
      </c>
      <c r="AD21" t="s">
        <v>34</v>
      </c>
    </row>
    <row r="22" spans="2:30" x14ac:dyDescent="0.3">
      <c r="B22" s="46" t="str">
        <f t="shared" si="15"/>
        <v>Investering</v>
      </c>
      <c r="C22" s="47"/>
      <c r="D22" s="28">
        <v>32959.263999999996</v>
      </c>
      <c r="E22" s="28"/>
      <c r="F22" s="28">
        <f>32959.264-D22</f>
        <v>0</v>
      </c>
      <c r="G22" s="28"/>
      <c r="H22" s="28"/>
      <c r="I22" s="28"/>
      <c r="J22" s="18">
        <f t="shared" si="17"/>
        <v>0</v>
      </c>
      <c r="K22" s="43">
        <f t="shared" si="18"/>
        <v>0</v>
      </c>
      <c r="L22" s="18">
        <f t="shared" si="20"/>
        <v>10000</v>
      </c>
      <c r="M22" s="19">
        <v>0.3</v>
      </c>
      <c r="N22" s="34">
        <f t="shared" si="21"/>
        <v>32959.263999999996</v>
      </c>
      <c r="P22" t="s">
        <v>35</v>
      </c>
      <c r="AD22" t="s">
        <v>36</v>
      </c>
    </row>
    <row r="23" spans="2:30" x14ac:dyDescent="0.3">
      <c r="B23" s="46" t="str">
        <f t="shared" si="15"/>
        <v>Werking</v>
      </c>
      <c r="C23" s="47"/>
      <c r="D23" s="28">
        <v>337916.98293727811</v>
      </c>
      <c r="E23" s="28"/>
      <c r="F23" s="28">
        <f>337916.982937278-D23</f>
        <v>0</v>
      </c>
      <c r="G23" s="28"/>
      <c r="H23" s="28"/>
      <c r="I23" s="28"/>
      <c r="J23" s="18">
        <f t="shared" si="17"/>
        <v>0</v>
      </c>
      <c r="K23" s="43">
        <f t="shared" si="18"/>
        <v>0</v>
      </c>
      <c r="L23" s="18">
        <f t="shared" si="20"/>
        <v>101375.09488118342</v>
      </c>
      <c r="M23" s="19">
        <v>0.3</v>
      </c>
      <c r="N23" s="34">
        <f t="shared" si="21"/>
        <v>337916.98293727811</v>
      </c>
      <c r="P23" t="s">
        <v>37</v>
      </c>
      <c r="AD23" t="s">
        <v>38</v>
      </c>
    </row>
    <row r="24" spans="2:30" x14ac:dyDescent="0.3">
      <c r="B24" s="46" t="str">
        <f t="shared" si="15"/>
        <v>Personeel</v>
      </c>
      <c r="C24" s="47"/>
      <c r="D24" s="28">
        <v>911607.43273693556</v>
      </c>
      <c r="E24" s="28"/>
      <c r="F24" s="28">
        <f>924984.432736936-D24</f>
        <v>13377.000000000466</v>
      </c>
      <c r="G24" s="28"/>
      <c r="H24" s="28"/>
      <c r="I24" s="28"/>
      <c r="J24" s="18">
        <f t="shared" si="17"/>
        <v>13377.000000000466</v>
      </c>
      <c r="K24" s="43">
        <f t="shared" si="18"/>
        <v>13377.000000000466</v>
      </c>
      <c r="L24" s="18">
        <f t="shared" si="20"/>
        <v>273482.22982108063</v>
      </c>
      <c r="M24" s="19">
        <v>0.3</v>
      </c>
      <c r="N24" s="34">
        <f t="shared" si="21"/>
        <v>924984.43273693603</v>
      </c>
      <c r="P24" t="s">
        <v>39</v>
      </c>
      <c r="AD24" t="s">
        <v>40</v>
      </c>
    </row>
    <row r="25" spans="2:30" x14ac:dyDescent="0.3">
      <c r="B25" s="13" t="str">
        <f t="shared" si="15"/>
        <v>GSK</v>
      </c>
      <c r="C25" s="26" t="s">
        <v>58</v>
      </c>
      <c r="D25" s="40">
        <f t="shared" ref="D25:I25" si="22">D26</f>
        <v>1893067.7729600002</v>
      </c>
      <c r="E25" s="40">
        <f t="shared" si="22"/>
        <v>0</v>
      </c>
      <c r="F25" s="40">
        <f t="shared" si="22"/>
        <v>27210.839999999967</v>
      </c>
      <c r="G25" s="40">
        <f t="shared" si="22"/>
        <v>0</v>
      </c>
      <c r="H25" s="40">
        <f t="shared" si="22"/>
        <v>0</v>
      </c>
      <c r="I25" s="40">
        <f t="shared" si="22"/>
        <v>0</v>
      </c>
      <c r="J25" s="40">
        <f t="shared" si="17"/>
        <v>27210.839999999967</v>
      </c>
      <c r="K25" s="43">
        <f t="shared" si="18"/>
        <v>27210.839999999967</v>
      </c>
      <c r="L25" s="40">
        <f>MAX(10000,(D25*M25))</f>
        <v>189306.77729600004</v>
      </c>
      <c r="M25" s="41">
        <v>0.1</v>
      </c>
      <c r="N25" s="37">
        <f>D25+J25</f>
        <v>1920278.6129600001</v>
      </c>
      <c r="P25" t="s">
        <v>32</v>
      </c>
      <c r="AD25" t="s">
        <v>33</v>
      </c>
    </row>
    <row r="26" spans="2:30" x14ac:dyDescent="0.3">
      <c r="B26" s="14" t="str">
        <f t="shared" si="15"/>
        <v>Outcome</v>
      </c>
      <c r="C26" s="32" t="s">
        <v>59</v>
      </c>
      <c r="D26" s="11">
        <f t="shared" ref="D26:I26" si="23">SUM(D27+D28+D29)</f>
        <v>1893067.7729600002</v>
      </c>
      <c r="E26" s="11">
        <f t="shared" si="23"/>
        <v>0</v>
      </c>
      <c r="F26" s="11">
        <f t="shared" si="23"/>
        <v>27210.839999999967</v>
      </c>
      <c r="G26" s="11">
        <f t="shared" si="23"/>
        <v>0</v>
      </c>
      <c r="H26" s="11">
        <f t="shared" si="23"/>
        <v>0</v>
      </c>
      <c r="I26" s="11">
        <f t="shared" si="23"/>
        <v>0</v>
      </c>
      <c r="J26" s="11">
        <f t="shared" si="17"/>
        <v>27210.839999999967</v>
      </c>
      <c r="K26" s="43">
        <f t="shared" si="18"/>
        <v>27210.839999999967</v>
      </c>
      <c r="L26" s="11">
        <f t="shared" ref="L26:L29" si="24">MAX(10000,(D26*M26))</f>
        <v>378613.55459200009</v>
      </c>
      <c r="M26" s="12">
        <v>0.2</v>
      </c>
      <c r="N26" s="33">
        <f t="shared" ref="N26:N29" si="25">D26+J26</f>
        <v>1920278.6129600001</v>
      </c>
      <c r="P26" t="s">
        <v>34</v>
      </c>
      <c r="AD26" t="s">
        <v>34</v>
      </c>
    </row>
    <row r="27" spans="2:30" x14ac:dyDescent="0.3">
      <c r="B27" s="46" t="str">
        <f t="shared" si="15"/>
        <v>Investering</v>
      </c>
      <c r="C27" s="47"/>
      <c r="D27" s="28">
        <v>272535.32</v>
      </c>
      <c r="E27" s="28"/>
      <c r="F27" s="28">
        <f>272535.32-D27</f>
        <v>0</v>
      </c>
      <c r="G27" s="28"/>
      <c r="H27" s="28"/>
      <c r="I27" s="28"/>
      <c r="J27" s="18">
        <f t="shared" si="17"/>
        <v>0</v>
      </c>
      <c r="K27" s="43">
        <f t="shared" si="18"/>
        <v>0</v>
      </c>
      <c r="L27" s="18">
        <f t="shared" si="24"/>
        <v>81760.596000000005</v>
      </c>
      <c r="M27" s="19">
        <v>0.3</v>
      </c>
      <c r="N27" s="34">
        <f t="shared" si="25"/>
        <v>272535.32</v>
      </c>
      <c r="P27" t="s">
        <v>35</v>
      </c>
      <c r="AD27" t="s">
        <v>36</v>
      </c>
    </row>
    <row r="28" spans="2:30" x14ac:dyDescent="0.3">
      <c r="B28" s="46" t="str">
        <f t="shared" si="15"/>
        <v>Werking</v>
      </c>
      <c r="C28" s="47"/>
      <c r="D28" s="28">
        <v>862616.03</v>
      </c>
      <c r="E28" s="28"/>
      <c r="F28" s="28">
        <f>862616.03-D28</f>
        <v>0</v>
      </c>
      <c r="G28" s="28"/>
      <c r="H28" s="28"/>
      <c r="I28" s="28"/>
      <c r="J28" s="18">
        <f t="shared" si="17"/>
        <v>0</v>
      </c>
      <c r="K28" s="43">
        <f t="shared" si="18"/>
        <v>0</v>
      </c>
      <c r="L28" s="18">
        <f t="shared" si="24"/>
        <v>258784.80900000001</v>
      </c>
      <c r="M28" s="19">
        <v>0.3</v>
      </c>
      <c r="N28" s="34">
        <f t="shared" si="25"/>
        <v>862616.03</v>
      </c>
      <c r="P28" t="s">
        <v>37</v>
      </c>
      <c r="AD28" t="s">
        <v>38</v>
      </c>
    </row>
    <row r="29" spans="2:30" x14ac:dyDescent="0.3">
      <c r="B29" s="46" t="str">
        <f t="shared" si="15"/>
        <v>Personeel</v>
      </c>
      <c r="C29" s="47"/>
      <c r="D29" s="28">
        <v>757916.42296</v>
      </c>
      <c r="E29" s="28"/>
      <c r="F29" s="28">
        <f>785127.26296-D29</f>
        <v>27210.839999999967</v>
      </c>
      <c r="G29" s="28"/>
      <c r="H29" s="28"/>
      <c r="I29" s="28"/>
      <c r="J29" s="18">
        <f t="shared" si="17"/>
        <v>27210.839999999967</v>
      </c>
      <c r="K29" s="43">
        <f t="shared" si="18"/>
        <v>27210.839999999967</v>
      </c>
      <c r="L29" s="18">
        <f t="shared" si="24"/>
        <v>227374.92688799999</v>
      </c>
      <c r="M29" s="19">
        <v>0.3</v>
      </c>
      <c r="N29" s="34">
        <f t="shared" si="25"/>
        <v>785127.26295999996</v>
      </c>
      <c r="P29" t="s">
        <v>39</v>
      </c>
      <c r="AD29" t="s">
        <v>40</v>
      </c>
    </row>
    <row r="30" spans="2:30" x14ac:dyDescent="0.3">
      <c r="B30" s="13" t="str">
        <f t="shared" ref="B30:B44" si="26">IF($N$2="FR",P30,AD30)</f>
        <v>GSK</v>
      </c>
      <c r="C30" s="26" t="s">
        <v>60</v>
      </c>
      <c r="D30" s="40">
        <f t="shared" ref="D30:I30" si="27">D31</f>
        <v>1591964.1379600002</v>
      </c>
      <c r="E30" s="40">
        <f t="shared" si="27"/>
        <v>0</v>
      </c>
      <c r="F30" s="40">
        <f t="shared" si="27"/>
        <v>0</v>
      </c>
      <c r="G30" s="40">
        <f t="shared" si="27"/>
        <v>0</v>
      </c>
      <c r="H30" s="40">
        <f t="shared" si="27"/>
        <v>0</v>
      </c>
      <c r="I30" s="40">
        <f t="shared" si="27"/>
        <v>0</v>
      </c>
      <c r="J30" s="40">
        <f t="shared" ref="J30:J44" si="28">SUM(E30+F30+G30+H30+I30)</f>
        <v>0</v>
      </c>
      <c r="K30" s="43">
        <f t="shared" ref="K30:K44" si="29">ABS(J30)</f>
        <v>0</v>
      </c>
      <c r="L30" s="40">
        <f>MAX(10000,(D30*M30))</f>
        <v>159196.41379600004</v>
      </c>
      <c r="M30" s="41">
        <v>0.1</v>
      </c>
      <c r="N30" s="37">
        <f>D30+J30</f>
        <v>1591964.1379600002</v>
      </c>
      <c r="P30" t="s">
        <v>32</v>
      </c>
      <c r="AD30" t="s">
        <v>33</v>
      </c>
    </row>
    <row r="31" spans="2:30" x14ac:dyDescent="0.3">
      <c r="B31" s="14" t="str">
        <f t="shared" si="26"/>
        <v>Outcome</v>
      </c>
      <c r="C31" s="32" t="s">
        <v>61</v>
      </c>
      <c r="D31" s="11">
        <f t="shared" ref="D31:I31" si="30">SUM(D32+D33+D34)</f>
        <v>1591964.1379600002</v>
      </c>
      <c r="E31" s="11">
        <f t="shared" si="30"/>
        <v>0</v>
      </c>
      <c r="F31" s="11">
        <f t="shared" si="30"/>
        <v>0</v>
      </c>
      <c r="G31" s="11">
        <f t="shared" si="30"/>
        <v>0</v>
      </c>
      <c r="H31" s="11">
        <f t="shared" si="30"/>
        <v>0</v>
      </c>
      <c r="I31" s="11">
        <f t="shared" si="30"/>
        <v>0</v>
      </c>
      <c r="J31" s="11">
        <f t="shared" si="28"/>
        <v>0</v>
      </c>
      <c r="K31" s="43">
        <f t="shared" si="29"/>
        <v>0</v>
      </c>
      <c r="L31" s="11">
        <f t="shared" ref="L31:L34" si="31">MAX(10000,(D31*M31))</f>
        <v>318392.82759200007</v>
      </c>
      <c r="M31" s="12">
        <v>0.2</v>
      </c>
      <c r="N31" s="33">
        <f t="shared" ref="N31:N34" si="32">D31+J31</f>
        <v>1591964.1379600002</v>
      </c>
      <c r="P31" t="s">
        <v>34</v>
      </c>
      <c r="AD31" t="s">
        <v>34</v>
      </c>
    </row>
    <row r="32" spans="2:30" x14ac:dyDescent="0.3">
      <c r="B32" s="46" t="str">
        <f t="shared" si="26"/>
        <v>Investering</v>
      </c>
      <c r="C32" s="47"/>
      <c r="D32" s="28">
        <v>371639.53</v>
      </c>
      <c r="E32" s="28"/>
      <c r="F32" s="28">
        <f>371639.53-D32</f>
        <v>0</v>
      </c>
      <c r="G32" s="28"/>
      <c r="H32" s="28"/>
      <c r="I32" s="28"/>
      <c r="J32" s="18">
        <f t="shared" si="28"/>
        <v>0</v>
      </c>
      <c r="K32" s="43">
        <f t="shared" si="29"/>
        <v>0</v>
      </c>
      <c r="L32" s="18">
        <f t="shared" si="31"/>
        <v>111491.85900000001</v>
      </c>
      <c r="M32" s="19">
        <v>0.3</v>
      </c>
      <c r="N32" s="34">
        <f t="shared" si="32"/>
        <v>371639.53</v>
      </c>
      <c r="P32" t="s">
        <v>35</v>
      </c>
      <c r="AD32" t="s">
        <v>36</v>
      </c>
    </row>
    <row r="33" spans="2:30" x14ac:dyDescent="0.3">
      <c r="B33" s="46" t="str">
        <f t="shared" si="26"/>
        <v>Werking</v>
      </c>
      <c r="C33" s="47"/>
      <c r="D33" s="28">
        <v>633919.60000000009</v>
      </c>
      <c r="E33" s="28"/>
      <c r="F33" s="28">
        <f>633919.6-D33</f>
        <v>0</v>
      </c>
      <c r="G33" s="28"/>
      <c r="H33" s="28"/>
      <c r="I33" s="28"/>
      <c r="J33" s="18">
        <f t="shared" si="28"/>
        <v>0</v>
      </c>
      <c r="K33" s="43">
        <f t="shared" si="29"/>
        <v>0</v>
      </c>
      <c r="L33" s="18">
        <f t="shared" si="31"/>
        <v>190175.88000000003</v>
      </c>
      <c r="M33" s="19">
        <v>0.3</v>
      </c>
      <c r="N33" s="34">
        <f t="shared" si="32"/>
        <v>633919.60000000009</v>
      </c>
      <c r="P33" t="s">
        <v>37</v>
      </c>
      <c r="AD33" t="s">
        <v>38</v>
      </c>
    </row>
    <row r="34" spans="2:30" x14ac:dyDescent="0.3">
      <c r="B34" s="46" t="str">
        <f t="shared" si="26"/>
        <v>Personeel</v>
      </c>
      <c r="C34" s="47"/>
      <c r="D34" s="28">
        <v>586405.00796000008</v>
      </c>
      <c r="E34" s="28"/>
      <c r="F34" s="28">
        <f>586405.00796-D34</f>
        <v>0</v>
      </c>
      <c r="G34" s="28"/>
      <c r="H34" s="28"/>
      <c r="I34" s="28"/>
      <c r="J34" s="18">
        <f t="shared" si="28"/>
        <v>0</v>
      </c>
      <c r="K34" s="43">
        <f t="shared" si="29"/>
        <v>0</v>
      </c>
      <c r="L34" s="18">
        <f t="shared" si="31"/>
        <v>175921.50238800002</v>
      </c>
      <c r="M34" s="19">
        <v>0.3</v>
      </c>
      <c r="N34" s="34">
        <f t="shared" si="32"/>
        <v>586405.00796000008</v>
      </c>
      <c r="P34" t="s">
        <v>39</v>
      </c>
      <c r="AD34" t="s">
        <v>40</v>
      </c>
    </row>
    <row r="35" spans="2:30" x14ac:dyDescent="0.3">
      <c r="B35" s="13" t="str">
        <f t="shared" si="26"/>
        <v>GSK</v>
      </c>
      <c r="C35" s="26" t="s">
        <v>62</v>
      </c>
      <c r="D35" s="40">
        <f t="shared" ref="D35:I35" si="33">D36</f>
        <v>2205929.2420509094</v>
      </c>
      <c r="E35" s="40">
        <f t="shared" si="33"/>
        <v>0</v>
      </c>
      <c r="F35" s="40">
        <f t="shared" si="33"/>
        <v>5.6752469390630722E-9</v>
      </c>
      <c r="G35" s="40">
        <f t="shared" si="33"/>
        <v>0</v>
      </c>
      <c r="H35" s="40">
        <f t="shared" si="33"/>
        <v>0</v>
      </c>
      <c r="I35" s="40">
        <f t="shared" si="33"/>
        <v>0</v>
      </c>
      <c r="J35" s="40">
        <f t="shared" si="28"/>
        <v>5.6752469390630722E-9</v>
      </c>
      <c r="K35" s="43">
        <f t="shared" si="29"/>
        <v>5.6752469390630722E-9</v>
      </c>
      <c r="L35" s="40">
        <f>MAX(10000,(D35*M35))</f>
        <v>220592.92420509097</v>
      </c>
      <c r="M35" s="41">
        <v>0.1</v>
      </c>
      <c r="N35" s="37">
        <f>D35+J35</f>
        <v>2205929.242050915</v>
      </c>
      <c r="P35" t="s">
        <v>32</v>
      </c>
      <c r="AD35" t="s">
        <v>33</v>
      </c>
    </row>
    <row r="36" spans="2:30" x14ac:dyDescent="0.3">
      <c r="B36" s="14" t="str">
        <f t="shared" si="26"/>
        <v>Outcome</v>
      </c>
      <c r="C36" s="32" t="s">
        <v>63</v>
      </c>
      <c r="D36" s="11">
        <f t="shared" ref="D36:I36" si="34">SUM(D37+D38+D39)</f>
        <v>2205929.2420509094</v>
      </c>
      <c r="E36" s="11">
        <f t="shared" si="34"/>
        <v>0</v>
      </c>
      <c r="F36" s="11">
        <f t="shared" si="34"/>
        <v>5.6752469390630722E-9</v>
      </c>
      <c r="G36" s="11">
        <f t="shared" si="34"/>
        <v>0</v>
      </c>
      <c r="H36" s="11">
        <f t="shared" si="34"/>
        <v>0</v>
      </c>
      <c r="I36" s="11">
        <f t="shared" si="34"/>
        <v>0</v>
      </c>
      <c r="J36" s="11">
        <f t="shared" si="28"/>
        <v>5.6752469390630722E-9</v>
      </c>
      <c r="K36" s="43">
        <f t="shared" si="29"/>
        <v>5.6752469390630722E-9</v>
      </c>
      <c r="L36" s="11">
        <f t="shared" ref="L36:L39" si="35">MAX(10000,(D36*M36))</f>
        <v>441185.84841018193</v>
      </c>
      <c r="M36" s="12">
        <v>0.2</v>
      </c>
      <c r="N36" s="33">
        <f t="shared" ref="N36:N39" si="36">D36+J36</f>
        <v>2205929.242050915</v>
      </c>
      <c r="P36" t="s">
        <v>34</v>
      </c>
      <c r="AD36" t="s">
        <v>34</v>
      </c>
    </row>
    <row r="37" spans="2:30" x14ac:dyDescent="0.3">
      <c r="B37" s="46" t="str">
        <f t="shared" si="26"/>
        <v>Investering</v>
      </c>
      <c r="C37" s="47"/>
      <c r="D37" s="28">
        <v>132759.57138936539</v>
      </c>
      <c r="E37" s="28"/>
      <c r="F37" s="28">
        <f>132759.571389365-D37</f>
        <v>-3.7834979593753815E-10</v>
      </c>
      <c r="G37" s="28"/>
      <c r="H37" s="28"/>
      <c r="I37" s="28"/>
      <c r="J37" s="18">
        <f t="shared" si="28"/>
        <v>-3.7834979593753815E-10</v>
      </c>
      <c r="K37" s="43">
        <f t="shared" si="29"/>
        <v>3.7834979593753815E-10</v>
      </c>
      <c r="L37" s="18">
        <f t="shared" si="35"/>
        <v>39827.871416809612</v>
      </c>
      <c r="M37" s="19">
        <v>0.3</v>
      </c>
      <c r="N37" s="34">
        <f t="shared" si="36"/>
        <v>132759.57138936501</v>
      </c>
      <c r="P37" t="s">
        <v>35</v>
      </c>
      <c r="AD37" t="s">
        <v>36</v>
      </c>
    </row>
    <row r="38" spans="2:30" x14ac:dyDescent="0.3">
      <c r="B38" s="46" t="str">
        <f t="shared" si="26"/>
        <v>Werking</v>
      </c>
      <c r="C38" s="47"/>
      <c r="D38" s="28">
        <v>1068447.3302401374</v>
      </c>
      <c r="E38" s="28"/>
      <c r="F38" s="28">
        <f>1068447.33024014-D38</f>
        <v>2.5611370801925659E-9</v>
      </c>
      <c r="G38" s="28"/>
      <c r="H38" s="28"/>
      <c r="I38" s="28"/>
      <c r="J38" s="18">
        <f t="shared" si="28"/>
        <v>2.5611370801925659E-9</v>
      </c>
      <c r="K38" s="43">
        <f t="shared" si="29"/>
        <v>2.5611370801925659E-9</v>
      </c>
      <c r="L38" s="18">
        <f t="shared" si="35"/>
        <v>320534.1990720412</v>
      </c>
      <c r="M38" s="19">
        <v>0.3</v>
      </c>
      <c r="N38" s="34">
        <f t="shared" si="36"/>
        <v>1068447.33024014</v>
      </c>
      <c r="P38" t="s">
        <v>37</v>
      </c>
      <c r="AD38" t="s">
        <v>38</v>
      </c>
    </row>
    <row r="39" spans="2:30" x14ac:dyDescent="0.3">
      <c r="B39" s="46" t="str">
        <f t="shared" si="26"/>
        <v>Personeel</v>
      </c>
      <c r="C39" s="47"/>
      <c r="D39" s="28">
        <v>1004722.3404214066</v>
      </c>
      <c r="E39" s="28"/>
      <c r="F39" s="28">
        <f>1004722.34042141-D39</f>
        <v>3.4924596548080444E-9</v>
      </c>
      <c r="G39" s="28"/>
      <c r="H39" s="28"/>
      <c r="I39" s="28"/>
      <c r="J39" s="18">
        <f t="shared" si="28"/>
        <v>3.4924596548080444E-9</v>
      </c>
      <c r="K39" s="43">
        <f t="shared" si="29"/>
        <v>3.4924596548080444E-9</v>
      </c>
      <c r="L39" s="18">
        <f t="shared" si="35"/>
        <v>301416.70212642197</v>
      </c>
      <c r="M39" s="19">
        <v>0.3</v>
      </c>
      <c r="N39" s="34">
        <f t="shared" si="36"/>
        <v>1004722.34042141</v>
      </c>
      <c r="P39" t="s">
        <v>39</v>
      </c>
      <c r="AD39" t="s">
        <v>40</v>
      </c>
    </row>
    <row r="40" spans="2:30" x14ac:dyDescent="0.3">
      <c r="B40" s="13" t="str">
        <f t="shared" si="26"/>
        <v>GSK</v>
      </c>
      <c r="C40" s="26" t="s">
        <v>64</v>
      </c>
      <c r="D40" s="40">
        <f t="shared" ref="D40:I40" si="37">D41</f>
        <v>1261596.9310697562</v>
      </c>
      <c r="E40" s="40">
        <f t="shared" si="37"/>
        <v>0</v>
      </c>
      <c r="F40" s="40">
        <f t="shared" si="37"/>
        <v>50399.999999999432</v>
      </c>
      <c r="G40" s="40">
        <f t="shared" si="37"/>
        <v>0</v>
      </c>
      <c r="H40" s="40">
        <f t="shared" si="37"/>
        <v>0</v>
      </c>
      <c r="I40" s="40">
        <f t="shared" si="37"/>
        <v>0</v>
      </c>
      <c r="J40" s="40">
        <f t="shared" si="28"/>
        <v>50399.999999999432</v>
      </c>
      <c r="K40" s="43">
        <f t="shared" si="29"/>
        <v>50399.999999999432</v>
      </c>
      <c r="L40" s="40">
        <f>MAX(10000,(D40*M40))</f>
        <v>126159.69310697562</v>
      </c>
      <c r="M40" s="41">
        <v>0.1</v>
      </c>
      <c r="N40" s="37">
        <f>D40+J40</f>
        <v>1311996.9310697557</v>
      </c>
      <c r="P40" t="s">
        <v>32</v>
      </c>
      <c r="AD40" t="s">
        <v>33</v>
      </c>
    </row>
    <row r="41" spans="2:30" x14ac:dyDescent="0.3">
      <c r="B41" s="14" t="str">
        <f t="shared" si="26"/>
        <v>Outcome</v>
      </c>
      <c r="C41" s="32" t="s">
        <v>65</v>
      </c>
      <c r="D41" s="11">
        <f t="shared" ref="D41:I41" si="38">SUM(D42+D43+D44)</f>
        <v>1261596.9310697562</v>
      </c>
      <c r="E41" s="11">
        <f t="shared" si="38"/>
        <v>0</v>
      </c>
      <c r="F41" s="11">
        <f t="shared" si="38"/>
        <v>50399.999999999432</v>
      </c>
      <c r="G41" s="11">
        <f t="shared" si="38"/>
        <v>0</v>
      </c>
      <c r="H41" s="11">
        <f t="shared" si="38"/>
        <v>0</v>
      </c>
      <c r="I41" s="11">
        <f t="shared" si="38"/>
        <v>0</v>
      </c>
      <c r="J41" s="11">
        <f t="shared" si="28"/>
        <v>50399.999999999432</v>
      </c>
      <c r="K41" s="43">
        <f t="shared" si="29"/>
        <v>50399.999999999432</v>
      </c>
      <c r="L41" s="11">
        <f t="shared" ref="L41:L44" si="39">MAX(10000,(D41*M41))</f>
        <v>252319.38621395125</v>
      </c>
      <c r="M41" s="12">
        <v>0.2</v>
      </c>
      <c r="N41" s="33">
        <f t="shared" ref="N41:N44" si="40">D41+J41</f>
        <v>1311996.9310697557</v>
      </c>
      <c r="P41" t="s">
        <v>34</v>
      </c>
      <c r="AD41" t="s">
        <v>34</v>
      </c>
    </row>
    <row r="42" spans="2:30" x14ac:dyDescent="0.3">
      <c r="B42" s="46" t="str">
        <f t="shared" si="26"/>
        <v>Investering</v>
      </c>
      <c r="C42" s="47"/>
      <c r="D42" s="28">
        <v>121528.63414634146</v>
      </c>
      <c r="E42" s="28"/>
      <c r="F42" s="28">
        <f>121528.634146341-D42</f>
        <v>-4.5110937207937241E-10</v>
      </c>
      <c r="G42" s="28"/>
      <c r="H42" s="28"/>
      <c r="I42" s="28"/>
      <c r="J42" s="18">
        <f t="shared" si="28"/>
        <v>-4.5110937207937241E-10</v>
      </c>
      <c r="K42" s="43">
        <f t="shared" si="29"/>
        <v>4.5110937207937241E-10</v>
      </c>
      <c r="L42" s="18">
        <f t="shared" si="39"/>
        <v>36458.590243902436</v>
      </c>
      <c r="M42" s="19">
        <v>0.3</v>
      </c>
      <c r="N42" s="34">
        <f t="shared" si="40"/>
        <v>121528.63414634101</v>
      </c>
      <c r="P42" t="s">
        <v>35</v>
      </c>
      <c r="AD42" t="s">
        <v>36</v>
      </c>
    </row>
    <row r="43" spans="2:30" x14ac:dyDescent="0.3">
      <c r="B43" s="46" t="str">
        <f t="shared" si="26"/>
        <v>Werking</v>
      </c>
      <c r="C43" s="47"/>
      <c r="D43" s="28">
        <v>485872.8419512196</v>
      </c>
      <c r="E43" s="28"/>
      <c r="F43" s="28">
        <f>485872.84195122-D43</f>
        <v>0</v>
      </c>
      <c r="G43" s="28"/>
      <c r="H43" s="28"/>
      <c r="I43" s="28"/>
      <c r="J43" s="18">
        <f t="shared" si="28"/>
        <v>0</v>
      </c>
      <c r="K43" s="43">
        <f t="shared" si="29"/>
        <v>0</v>
      </c>
      <c r="L43" s="18">
        <f t="shared" si="39"/>
        <v>145761.85258536588</v>
      </c>
      <c r="M43" s="19">
        <v>0.3</v>
      </c>
      <c r="N43" s="34">
        <f t="shared" si="40"/>
        <v>485872.8419512196</v>
      </c>
      <c r="P43" t="s">
        <v>37</v>
      </c>
      <c r="AD43" t="s">
        <v>38</v>
      </c>
    </row>
    <row r="44" spans="2:30" ht="15" thickBot="1" x14ac:dyDescent="0.35">
      <c r="B44" s="46" t="str">
        <f t="shared" si="26"/>
        <v>Personeel</v>
      </c>
      <c r="C44" s="47"/>
      <c r="D44" s="28">
        <v>654195.45497219509</v>
      </c>
      <c r="E44" s="28"/>
      <c r="F44" s="28">
        <f>704595.454972195-D44</f>
        <v>50399.999999999884</v>
      </c>
      <c r="G44" s="28"/>
      <c r="H44" s="28"/>
      <c r="I44" s="28"/>
      <c r="J44" s="18">
        <f t="shared" si="28"/>
        <v>50399.999999999884</v>
      </c>
      <c r="K44" s="43">
        <f t="shared" si="29"/>
        <v>50399.999999999884</v>
      </c>
      <c r="L44" s="18">
        <f t="shared" si="39"/>
        <v>196258.63649165852</v>
      </c>
      <c r="M44" s="19">
        <v>0.3</v>
      </c>
      <c r="N44" s="34">
        <f t="shared" si="40"/>
        <v>704595.45497219497</v>
      </c>
      <c r="P44" t="s">
        <v>39</v>
      </c>
      <c r="AD44" t="s">
        <v>40</v>
      </c>
    </row>
    <row r="45" spans="2:30" hidden="1" x14ac:dyDescent="0.3">
      <c r="B45" s="15" t="str">
        <f t="shared" si="4"/>
        <v>GSK</v>
      </c>
      <c r="C45" s="27"/>
      <c r="D45" s="16">
        <f t="shared" ref="D45:I45" si="41">SUM(D46+D50)</f>
        <v>0</v>
      </c>
      <c r="E45" s="16">
        <f t="shared" si="41"/>
        <v>0</v>
      </c>
      <c r="F45" s="16">
        <f t="shared" si="41"/>
        <v>0</v>
      </c>
      <c r="G45" s="16">
        <f t="shared" si="41"/>
        <v>0</v>
      </c>
      <c r="H45" s="16">
        <f t="shared" si="41"/>
        <v>0</v>
      </c>
      <c r="I45" s="16">
        <f t="shared" si="41"/>
        <v>0</v>
      </c>
      <c r="J45" s="16">
        <f t="shared" si="10"/>
        <v>0</v>
      </c>
      <c r="K45" s="43">
        <f t="shared" si="11"/>
        <v>0</v>
      </c>
      <c r="L45" s="16">
        <f t="shared" si="13"/>
        <v>10000</v>
      </c>
      <c r="M45" s="17">
        <v>0.1</v>
      </c>
      <c r="N45" s="38">
        <f t="shared" si="14"/>
        <v>0</v>
      </c>
      <c r="P45" t="s">
        <v>32</v>
      </c>
      <c r="AD45" t="s">
        <v>33</v>
      </c>
    </row>
    <row r="46" spans="2:30" hidden="1" x14ac:dyDescent="0.3">
      <c r="B46" s="14" t="str">
        <f t="shared" si="4"/>
        <v>Outcome</v>
      </c>
      <c r="C46" s="32"/>
      <c r="D46" s="11">
        <f t="shared" ref="D46:I46" si="42">SUM(D47+D48+D49)</f>
        <v>0</v>
      </c>
      <c r="E46" s="11">
        <f t="shared" si="42"/>
        <v>0</v>
      </c>
      <c r="F46" s="11">
        <f t="shared" si="42"/>
        <v>0</v>
      </c>
      <c r="G46" s="11">
        <f t="shared" si="42"/>
        <v>0</v>
      </c>
      <c r="H46" s="11">
        <f t="shared" si="42"/>
        <v>0</v>
      </c>
      <c r="I46" s="11">
        <f t="shared" si="42"/>
        <v>0</v>
      </c>
      <c r="J46" s="11">
        <f t="shared" si="10"/>
        <v>0</v>
      </c>
      <c r="K46" s="43">
        <f t="shared" si="11"/>
        <v>0</v>
      </c>
      <c r="L46" s="11">
        <f t="shared" si="13"/>
        <v>10000</v>
      </c>
      <c r="M46" s="12">
        <v>0.2</v>
      </c>
      <c r="N46" s="33">
        <f t="shared" si="14"/>
        <v>0</v>
      </c>
      <c r="P46" t="s">
        <v>34</v>
      </c>
      <c r="AD46" t="s">
        <v>34</v>
      </c>
    </row>
    <row r="47" spans="2:30" hidden="1" x14ac:dyDescent="0.3">
      <c r="B47" s="46" t="str">
        <f t="shared" ref="B47:B49" si="43">IF($N$2="FR",P47,AD47)</f>
        <v>Investering</v>
      </c>
      <c r="C47" s="47"/>
      <c r="D47" s="28"/>
      <c r="E47" s="28"/>
      <c r="F47" s="28"/>
      <c r="G47" s="28"/>
      <c r="H47" s="28"/>
      <c r="I47" s="28"/>
      <c r="J47" s="18">
        <f t="shared" si="10"/>
        <v>0</v>
      </c>
      <c r="K47" s="43">
        <f t="shared" si="11"/>
        <v>0</v>
      </c>
      <c r="L47" s="18">
        <f t="shared" si="13"/>
        <v>10000</v>
      </c>
      <c r="M47" s="19">
        <v>0.3</v>
      </c>
      <c r="N47" s="34">
        <f t="shared" si="14"/>
        <v>0</v>
      </c>
      <c r="P47" t="s">
        <v>35</v>
      </c>
      <c r="AD47" t="s">
        <v>36</v>
      </c>
    </row>
    <row r="48" spans="2:30" hidden="1" x14ac:dyDescent="0.3">
      <c r="B48" s="46" t="str">
        <f t="shared" si="43"/>
        <v>Werking</v>
      </c>
      <c r="C48" s="47"/>
      <c r="D48" s="28"/>
      <c r="E48" s="28"/>
      <c r="F48" s="28"/>
      <c r="G48" s="28"/>
      <c r="H48" s="28"/>
      <c r="I48" s="28"/>
      <c r="J48" s="18">
        <f t="shared" si="10"/>
        <v>0</v>
      </c>
      <c r="K48" s="43">
        <f t="shared" si="11"/>
        <v>0</v>
      </c>
      <c r="L48" s="18">
        <f t="shared" si="13"/>
        <v>10000</v>
      </c>
      <c r="M48" s="19">
        <v>0.3</v>
      </c>
      <c r="N48" s="34">
        <f t="shared" si="14"/>
        <v>0</v>
      </c>
      <c r="P48" t="s">
        <v>37</v>
      </c>
      <c r="AD48" t="s">
        <v>38</v>
      </c>
    </row>
    <row r="49" spans="2:30" hidden="1" x14ac:dyDescent="0.3">
      <c r="B49" s="46" t="str">
        <f t="shared" si="43"/>
        <v>Personeel</v>
      </c>
      <c r="C49" s="47"/>
      <c r="D49" s="28"/>
      <c r="E49" s="28"/>
      <c r="F49" s="28"/>
      <c r="G49" s="28"/>
      <c r="H49" s="28"/>
      <c r="I49" s="28"/>
      <c r="J49" s="18">
        <f t="shared" si="10"/>
        <v>0</v>
      </c>
      <c r="K49" s="43">
        <f t="shared" si="11"/>
        <v>0</v>
      </c>
      <c r="L49" s="18">
        <f t="shared" si="13"/>
        <v>10000</v>
      </c>
      <c r="M49" s="19">
        <v>0.3</v>
      </c>
      <c r="N49" s="34">
        <f t="shared" si="14"/>
        <v>0</v>
      </c>
      <c r="P49" t="s">
        <v>39</v>
      </c>
      <c r="AD49" t="s">
        <v>40</v>
      </c>
    </row>
    <row r="50" spans="2:30" hidden="1" x14ac:dyDescent="0.3">
      <c r="B50" s="14" t="str">
        <f t="shared" si="4"/>
        <v>Outcome</v>
      </c>
      <c r="C50" s="32"/>
      <c r="D50" s="11">
        <f t="shared" ref="D50:I50" si="44">SUM(D51+D52+D53)</f>
        <v>0</v>
      </c>
      <c r="E50" s="11">
        <f t="shared" si="44"/>
        <v>0</v>
      </c>
      <c r="F50" s="11">
        <f t="shared" si="44"/>
        <v>0</v>
      </c>
      <c r="G50" s="11">
        <f t="shared" si="44"/>
        <v>0</v>
      </c>
      <c r="H50" s="11">
        <f t="shared" si="44"/>
        <v>0</v>
      </c>
      <c r="I50" s="11">
        <f t="shared" si="44"/>
        <v>0</v>
      </c>
      <c r="J50" s="11">
        <f t="shared" si="10"/>
        <v>0</v>
      </c>
      <c r="K50" s="43">
        <f t="shared" si="11"/>
        <v>0</v>
      </c>
      <c r="L50" s="11">
        <f t="shared" si="13"/>
        <v>10000</v>
      </c>
      <c r="M50" s="12">
        <v>0.2</v>
      </c>
      <c r="N50" s="33">
        <f t="shared" si="14"/>
        <v>0</v>
      </c>
      <c r="P50" t="s">
        <v>34</v>
      </c>
      <c r="AD50" t="s">
        <v>34</v>
      </c>
    </row>
    <row r="51" spans="2:30" hidden="1" x14ac:dyDescent="0.3">
      <c r="B51" s="46" t="str">
        <f t="shared" ref="B51:B53" si="45">IF($N$2="FR",P51,AD51)</f>
        <v>Investering</v>
      </c>
      <c r="C51" s="47"/>
      <c r="D51" s="28"/>
      <c r="E51" s="28"/>
      <c r="F51" s="28"/>
      <c r="G51" s="28"/>
      <c r="H51" s="28"/>
      <c r="I51" s="28"/>
      <c r="J51" s="18">
        <f t="shared" si="10"/>
        <v>0</v>
      </c>
      <c r="K51" s="43">
        <f t="shared" si="11"/>
        <v>0</v>
      </c>
      <c r="L51" s="18">
        <f t="shared" si="13"/>
        <v>10000</v>
      </c>
      <c r="M51" s="19">
        <v>0.3</v>
      </c>
      <c r="N51" s="34">
        <f t="shared" si="14"/>
        <v>0</v>
      </c>
      <c r="P51" t="s">
        <v>35</v>
      </c>
      <c r="AD51" t="s">
        <v>36</v>
      </c>
    </row>
    <row r="52" spans="2:30" hidden="1" x14ac:dyDescent="0.3">
      <c r="B52" s="46" t="str">
        <f t="shared" si="45"/>
        <v>Werking</v>
      </c>
      <c r="C52" s="47"/>
      <c r="D52" s="28"/>
      <c r="E52" s="28"/>
      <c r="F52" s="28"/>
      <c r="G52" s="28"/>
      <c r="H52" s="28"/>
      <c r="I52" s="28"/>
      <c r="J52" s="18">
        <f t="shared" si="10"/>
        <v>0</v>
      </c>
      <c r="K52" s="43">
        <f t="shared" si="11"/>
        <v>0</v>
      </c>
      <c r="L52" s="18">
        <f t="shared" si="13"/>
        <v>10000</v>
      </c>
      <c r="M52" s="19">
        <v>0.3</v>
      </c>
      <c r="N52" s="34">
        <f t="shared" si="14"/>
        <v>0</v>
      </c>
      <c r="P52" t="s">
        <v>37</v>
      </c>
      <c r="AD52" t="s">
        <v>38</v>
      </c>
    </row>
    <row r="53" spans="2:30" hidden="1" x14ac:dyDescent="0.3">
      <c r="B53" s="46" t="str">
        <f t="shared" si="45"/>
        <v>Personeel</v>
      </c>
      <c r="C53" s="47"/>
      <c r="D53" s="28"/>
      <c r="E53" s="28"/>
      <c r="F53" s="28"/>
      <c r="G53" s="28"/>
      <c r="H53" s="28"/>
      <c r="I53" s="28"/>
      <c r="J53" s="18">
        <f t="shared" si="10"/>
        <v>0</v>
      </c>
      <c r="K53" s="43">
        <f t="shared" si="11"/>
        <v>0</v>
      </c>
      <c r="L53" s="18">
        <f t="shared" si="13"/>
        <v>10000</v>
      </c>
      <c r="M53" s="19">
        <v>0.3</v>
      </c>
      <c r="N53" s="34">
        <f t="shared" si="14"/>
        <v>0</v>
      </c>
      <c r="P53" t="s">
        <v>39</v>
      </c>
      <c r="AD53" t="s">
        <v>40</v>
      </c>
    </row>
    <row r="54" spans="2:30" hidden="1" x14ac:dyDescent="0.3">
      <c r="B54" s="15" t="str">
        <f t="shared" si="4"/>
        <v>Buiten GSK</v>
      </c>
      <c r="C54" s="32"/>
      <c r="D54" s="16">
        <f t="shared" ref="D54:I54" si="46">D55</f>
        <v>0</v>
      </c>
      <c r="E54" s="16">
        <f t="shared" si="46"/>
        <v>0</v>
      </c>
      <c r="F54" s="16">
        <f t="shared" si="46"/>
        <v>0</v>
      </c>
      <c r="G54" s="16">
        <f t="shared" si="46"/>
        <v>0</v>
      </c>
      <c r="H54" s="16">
        <f t="shared" si="46"/>
        <v>0</v>
      </c>
      <c r="I54" s="16">
        <f t="shared" si="46"/>
        <v>0</v>
      </c>
      <c r="J54" s="16">
        <f t="shared" si="10"/>
        <v>0</v>
      </c>
      <c r="K54" s="45">
        <f>J54</f>
        <v>0</v>
      </c>
      <c r="L54" s="16">
        <f>D54*M54</f>
        <v>0</v>
      </c>
      <c r="M54" s="17">
        <v>-1</v>
      </c>
      <c r="N54" s="39">
        <f t="shared" si="14"/>
        <v>0</v>
      </c>
      <c r="P54" t="s">
        <v>41</v>
      </c>
      <c r="AD54" t="s">
        <v>42</v>
      </c>
    </row>
    <row r="55" spans="2:30" hidden="1" x14ac:dyDescent="0.3">
      <c r="B55" s="14" t="str">
        <f t="shared" si="4"/>
        <v>Outcome</v>
      </c>
      <c r="C55" s="32"/>
      <c r="D55" s="11">
        <f t="shared" ref="D55:I55" si="47">SUM(D56+D57+D58)</f>
        <v>0</v>
      </c>
      <c r="E55" s="11">
        <f t="shared" si="47"/>
        <v>0</v>
      </c>
      <c r="F55" s="11">
        <f t="shared" si="47"/>
        <v>0</v>
      </c>
      <c r="G55" s="11">
        <f t="shared" si="47"/>
        <v>0</v>
      </c>
      <c r="H55" s="11">
        <f t="shared" si="47"/>
        <v>0</v>
      </c>
      <c r="I55" s="11">
        <f t="shared" si="47"/>
        <v>0</v>
      </c>
      <c r="J55" s="11">
        <f t="shared" si="10"/>
        <v>0</v>
      </c>
      <c r="K55" s="45">
        <f>J55</f>
        <v>0</v>
      </c>
      <c r="L55" s="11">
        <f>D55*M55</f>
        <v>0</v>
      </c>
      <c r="M55" s="12">
        <v>-1</v>
      </c>
      <c r="N55" s="33">
        <f t="shared" si="14"/>
        <v>0</v>
      </c>
      <c r="P55" t="s">
        <v>34</v>
      </c>
      <c r="AD55" t="s">
        <v>34</v>
      </c>
    </row>
    <row r="56" spans="2:30" hidden="1" x14ac:dyDescent="0.3">
      <c r="B56" s="46" t="str">
        <f t="shared" ref="B56:B58" si="48">IF($N$2="FR",P56,AD56)</f>
        <v>Investering</v>
      </c>
      <c r="C56" s="47"/>
      <c r="D56" s="28"/>
      <c r="E56" s="28"/>
      <c r="F56" s="28"/>
      <c r="G56" s="28"/>
      <c r="H56" s="28"/>
      <c r="I56" s="28"/>
      <c r="J56" s="18">
        <f t="shared" si="10"/>
        <v>0</v>
      </c>
      <c r="K56" s="43">
        <f t="shared" si="11"/>
        <v>0</v>
      </c>
      <c r="L56" s="18">
        <f t="shared" si="13"/>
        <v>10000</v>
      </c>
      <c r="M56" s="19">
        <v>0.3</v>
      </c>
      <c r="N56" s="34">
        <f t="shared" si="14"/>
        <v>0</v>
      </c>
      <c r="P56" t="s">
        <v>35</v>
      </c>
      <c r="AD56" t="s">
        <v>36</v>
      </c>
    </row>
    <row r="57" spans="2:30" hidden="1" x14ac:dyDescent="0.3">
      <c r="B57" s="46" t="str">
        <f t="shared" si="48"/>
        <v>Werking</v>
      </c>
      <c r="C57" s="47"/>
      <c r="D57" s="28"/>
      <c r="E57" s="28"/>
      <c r="F57" s="28"/>
      <c r="G57" s="28"/>
      <c r="H57" s="28"/>
      <c r="I57" s="28"/>
      <c r="J57" s="18">
        <f t="shared" si="10"/>
        <v>0</v>
      </c>
      <c r="K57" s="43">
        <f t="shared" si="11"/>
        <v>0</v>
      </c>
      <c r="L57" s="18">
        <f t="shared" si="13"/>
        <v>10000</v>
      </c>
      <c r="M57" s="19">
        <v>0.3</v>
      </c>
      <c r="N57" s="34">
        <f t="shared" si="14"/>
        <v>0</v>
      </c>
      <c r="P57" t="s">
        <v>37</v>
      </c>
      <c r="AD57" t="s">
        <v>38</v>
      </c>
    </row>
    <row r="58" spans="2:30" hidden="1" x14ac:dyDescent="0.3">
      <c r="B58" s="46" t="str">
        <f t="shared" si="48"/>
        <v>Personeel</v>
      </c>
      <c r="C58" s="47"/>
      <c r="D58" s="28"/>
      <c r="E58" s="28"/>
      <c r="F58" s="28"/>
      <c r="G58" s="28"/>
      <c r="H58" s="28"/>
      <c r="I58" s="28"/>
      <c r="J58" s="18">
        <f t="shared" si="10"/>
        <v>0</v>
      </c>
      <c r="K58" s="43">
        <f t="shared" si="11"/>
        <v>0</v>
      </c>
      <c r="L58" s="18">
        <f t="shared" si="13"/>
        <v>10000</v>
      </c>
      <c r="M58" s="19">
        <v>0.3</v>
      </c>
      <c r="N58" s="34">
        <f t="shared" si="14"/>
        <v>0</v>
      </c>
      <c r="P58" t="s">
        <v>39</v>
      </c>
      <c r="AD58" t="s">
        <v>40</v>
      </c>
    </row>
    <row r="59" spans="2:30" hidden="1" x14ac:dyDescent="0.3">
      <c r="B59" s="15" t="str">
        <f t="shared" si="4"/>
        <v>Buiten GSK</v>
      </c>
      <c r="C59" s="32"/>
      <c r="D59" s="16">
        <f t="shared" ref="D59:I59" si="49">SUM(D60+D64)</f>
        <v>0</v>
      </c>
      <c r="E59" s="16">
        <f t="shared" si="49"/>
        <v>0</v>
      </c>
      <c r="F59" s="16">
        <f t="shared" si="49"/>
        <v>0</v>
      </c>
      <c r="G59" s="16">
        <f t="shared" si="49"/>
        <v>0</v>
      </c>
      <c r="H59" s="16">
        <f t="shared" si="49"/>
        <v>0</v>
      </c>
      <c r="I59" s="16">
        <f t="shared" si="49"/>
        <v>0</v>
      </c>
      <c r="J59" s="16">
        <f t="shared" si="10"/>
        <v>0</v>
      </c>
      <c r="K59" s="45">
        <f>J59</f>
        <v>0</v>
      </c>
      <c r="L59" s="16">
        <f>D59*M59</f>
        <v>0</v>
      </c>
      <c r="M59" s="17">
        <v>-1</v>
      </c>
      <c r="N59" s="39">
        <f t="shared" si="14"/>
        <v>0</v>
      </c>
      <c r="P59" t="s">
        <v>41</v>
      </c>
      <c r="AD59" t="s">
        <v>42</v>
      </c>
    </row>
    <row r="60" spans="2:30" hidden="1" x14ac:dyDescent="0.3">
      <c r="B60" s="14" t="str">
        <f t="shared" si="4"/>
        <v>Outcome</v>
      </c>
      <c r="C60" s="32"/>
      <c r="D60" s="11">
        <f t="shared" ref="D60:I60" si="50">SUM(D61+D62+D63)</f>
        <v>0</v>
      </c>
      <c r="E60" s="11">
        <f t="shared" si="50"/>
        <v>0</v>
      </c>
      <c r="F60" s="11">
        <f t="shared" si="50"/>
        <v>0</v>
      </c>
      <c r="G60" s="11">
        <f t="shared" si="50"/>
        <v>0</v>
      </c>
      <c r="H60" s="11">
        <f t="shared" si="50"/>
        <v>0</v>
      </c>
      <c r="I60" s="11">
        <f t="shared" si="50"/>
        <v>0</v>
      </c>
      <c r="J60" s="11">
        <f t="shared" si="10"/>
        <v>0</v>
      </c>
      <c r="K60" s="45">
        <f>J60</f>
        <v>0</v>
      </c>
      <c r="L60" s="11">
        <f>D60*M60</f>
        <v>0</v>
      </c>
      <c r="M60" s="12">
        <v>-1</v>
      </c>
      <c r="N60" s="33">
        <f t="shared" si="14"/>
        <v>0</v>
      </c>
      <c r="P60" t="s">
        <v>34</v>
      </c>
      <c r="AD60" t="s">
        <v>34</v>
      </c>
    </row>
    <row r="61" spans="2:30" hidden="1" x14ac:dyDescent="0.3">
      <c r="B61" s="46" t="str">
        <f t="shared" ref="B61:B63" si="51">IF($N$2="FR",P61,AD61)</f>
        <v>Investering</v>
      </c>
      <c r="C61" s="47"/>
      <c r="D61" s="28"/>
      <c r="E61" s="28"/>
      <c r="F61" s="28"/>
      <c r="G61" s="28"/>
      <c r="H61" s="28"/>
      <c r="I61" s="28"/>
      <c r="J61" s="18">
        <f t="shared" si="10"/>
        <v>0</v>
      </c>
      <c r="K61" s="43">
        <f t="shared" si="11"/>
        <v>0</v>
      </c>
      <c r="L61" s="18">
        <f t="shared" ref="L61:L63" si="52">MAX(10000,(D61*M61))</f>
        <v>10000</v>
      </c>
      <c r="M61" s="19">
        <v>0.3</v>
      </c>
      <c r="N61" s="34">
        <f t="shared" si="14"/>
        <v>0</v>
      </c>
      <c r="P61" t="s">
        <v>35</v>
      </c>
      <c r="AD61" t="s">
        <v>36</v>
      </c>
    </row>
    <row r="62" spans="2:30" hidden="1" x14ac:dyDescent="0.3">
      <c r="B62" s="46" t="str">
        <f t="shared" si="51"/>
        <v>Werking</v>
      </c>
      <c r="C62" s="47"/>
      <c r="D62" s="28"/>
      <c r="E62" s="28"/>
      <c r="F62" s="28"/>
      <c r="G62" s="28"/>
      <c r="H62" s="28"/>
      <c r="I62" s="28"/>
      <c r="J62" s="18">
        <f t="shared" si="10"/>
        <v>0</v>
      </c>
      <c r="K62" s="43">
        <f t="shared" si="11"/>
        <v>0</v>
      </c>
      <c r="L62" s="18">
        <f t="shared" si="52"/>
        <v>10000</v>
      </c>
      <c r="M62" s="19">
        <v>0.3</v>
      </c>
      <c r="N62" s="34">
        <f t="shared" si="14"/>
        <v>0</v>
      </c>
      <c r="P62" t="s">
        <v>37</v>
      </c>
      <c r="AD62" t="s">
        <v>38</v>
      </c>
    </row>
    <row r="63" spans="2:30" hidden="1" x14ac:dyDescent="0.3">
      <c r="B63" s="46" t="str">
        <f t="shared" si="51"/>
        <v>Personeel</v>
      </c>
      <c r="C63" s="47"/>
      <c r="D63" s="28"/>
      <c r="E63" s="28"/>
      <c r="F63" s="28"/>
      <c r="G63" s="28"/>
      <c r="H63" s="28"/>
      <c r="I63" s="28"/>
      <c r="J63" s="18">
        <f t="shared" si="10"/>
        <v>0</v>
      </c>
      <c r="K63" s="43">
        <f t="shared" si="11"/>
        <v>0</v>
      </c>
      <c r="L63" s="18">
        <f t="shared" si="52"/>
        <v>10000</v>
      </c>
      <c r="M63" s="19">
        <v>0.3</v>
      </c>
      <c r="N63" s="34">
        <f t="shared" si="14"/>
        <v>0</v>
      </c>
      <c r="P63" t="s">
        <v>39</v>
      </c>
      <c r="AD63" t="s">
        <v>40</v>
      </c>
    </row>
    <row r="64" spans="2:30" hidden="1" x14ac:dyDescent="0.3">
      <c r="B64" s="14" t="str">
        <f t="shared" si="4"/>
        <v>Outcome</v>
      </c>
      <c r="C64" s="32"/>
      <c r="D64" s="11">
        <f t="shared" ref="D64:I64" si="53">SUM(D65+D66+D67)</f>
        <v>0</v>
      </c>
      <c r="E64" s="11">
        <f t="shared" si="53"/>
        <v>0</v>
      </c>
      <c r="F64" s="11">
        <f t="shared" si="53"/>
        <v>0</v>
      </c>
      <c r="G64" s="11">
        <f t="shared" si="53"/>
        <v>0</v>
      </c>
      <c r="H64" s="11">
        <f t="shared" si="53"/>
        <v>0</v>
      </c>
      <c r="I64" s="11">
        <f t="shared" si="53"/>
        <v>0</v>
      </c>
      <c r="J64" s="11">
        <f t="shared" si="10"/>
        <v>0</v>
      </c>
      <c r="K64" s="45">
        <f>J64</f>
        <v>0</v>
      </c>
      <c r="L64" s="11">
        <f>D64*M64</f>
        <v>0</v>
      </c>
      <c r="M64" s="12">
        <v>-1</v>
      </c>
      <c r="N64" s="33">
        <f t="shared" si="14"/>
        <v>0</v>
      </c>
      <c r="P64" t="s">
        <v>34</v>
      </c>
      <c r="AD64" t="s">
        <v>34</v>
      </c>
    </row>
    <row r="65" spans="2:30" hidden="1" x14ac:dyDescent="0.3">
      <c r="B65" s="46" t="str">
        <f t="shared" ref="B65:B67" si="54">IF($N$2="FR",P65,AD65)</f>
        <v>Investering</v>
      </c>
      <c r="C65" s="47"/>
      <c r="D65" s="28"/>
      <c r="E65" s="28"/>
      <c r="F65" s="28"/>
      <c r="G65" s="28"/>
      <c r="H65" s="28"/>
      <c r="I65" s="28"/>
      <c r="J65" s="18">
        <f t="shared" si="10"/>
        <v>0</v>
      </c>
      <c r="K65" s="43">
        <f t="shared" si="11"/>
        <v>0</v>
      </c>
      <c r="L65" s="18">
        <f t="shared" ref="L65:L67" si="55">MAX(10000,(D65*M65))</f>
        <v>10000</v>
      </c>
      <c r="M65" s="19">
        <v>0.3</v>
      </c>
      <c r="N65" s="34">
        <f t="shared" si="14"/>
        <v>0</v>
      </c>
      <c r="P65" t="s">
        <v>35</v>
      </c>
      <c r="AD65" t="s">
        <v>36</v>
      </c>
    </row>
    <row r="66" spans="2:30" hidden="1" x14ac:dyDescent="0.3">
      <c r="B66" s="46" t="str">
        <f t="shared" si="54"/>
        <v>Werking</v>
      </c>
      <c r="C66" s="47"/>
      <c r="D66" s="28"/>
      <c r="E66" s="28"/>
      <c r="F66" s="28"/>
      <c r="G66" s="28"/>
      <c r="H66" s="28"/>
      <c r="I66" s="28"/>
      <c r="J66" s="18">
        <f t="shared" si="10"/>
        <v>0</v>
      </c>
      <c r="K66" s="43">
        <f t="shared" si="11"/>
        <v>0</v>
      </c>
      <c r="L66" s="18">
        <f t="shared" si="55"/>
        <v>10000</v>
      </c>
      <c r="M66" s="19">
        <v>0.3</v>
      </c>
      <c r="N66" s="34">
        <f t="shared" si="14"/>
        <v>0</v>
      </c>
      <c r="P66" t="s">
        <v>37</v>
      </c>
      <c r="AD66" t="s">
        <v>38</v>
      </c>
    </row>
    <row r="67" spans="2:30" ht="15" hidden="1" thickBot="1" x14ac:dyDescent="0.35">
      <c r="B67" s="50" t="str">
        <f t="shared" si="54"/>
        <v>Personeel</v>
      </c>
      <c r="C67" s="51"/>
      <c r="D67" s="29"/>
      <c r="E67" s="29"/>
      <c r="F67" s="29"/>
      <c r="G67" s="29"/>
      <c r="H67" s="29"/>
      <c r="I67" s="29"/>
      <c r="J67" s="20">
        <f t="shared" si="10"/>
        <v>0</v>
      </c>
      <c r="K67" s="43">
        <f t="shared" si="11"/>
        <v>0</v>
      </c>
      <c r="L67" s="20">
        <f t="shared" si="55"/>
        <v>10000</v>
      </c>
      <c r="M67" s="21">
        <v>0.3</v>
      </c>
      <c r="N67" s="34">
        <f t="shared" si="14"/>
        <v>0</v>
      </c>
      <c r="P67" t="s">
        <v>39</v>
      </c>
      <c r="AD67" t="s">
        <v>40</v>
      </c>
    </row>
    <row r="68" spans="2:30" ht="15" thickBot="1" x14ac:dyDescent="0.35">
      <c r="B68" s="80" t="str">
        <f t="shared" si="4"/>
        <v>BEHEERSKOSTEN</v>
      </c>
      <c r="C68" s="81"/>
      <c r="D68" s="8">
        <f t="shared" ref="D68:I68" si="56">SUM(D69+D70+D71)</f>
        <v>1564051.7245938741</v>
      </c>
      <c r="E68" s="8">
        <f t="shared" si="56"/>
        <v>0</v>
      </c>
      <c r="F68" s="8">
        <f t="shared" si="56"/>
        <v>32447.019999997894</v>
      </c>
      <c r="G68" s="8">
        <f t="shared" si="56"/>
        <v>0</v>
      </c>
      <c r="H68" s="8">
        <f t="shared" si="56"/>
        <v>0</v>
      </c>
      <c r="I68" s="8">
        <f t="shared" si="56"/>
        <v>0</v>
      </c>
      <c r="J68" s="8">
        <f t="shared" si="10"/>
        <v>32447.019999997894</v>
      </c>
      <c r="K68" s="42">
        <f>ABS(J68)</f>
        <v>32447.019999997894</v>
      </c>
      <c r="L68" s="8">
        <v>0</v>
      </c>
      <c r="M68" s="9">
        <v>0</v>
      </c>
      <c r="N68" s="10">
        <f t="shared" si="14"/>
        <v>1596498.744593872</v>
      </c>
      <c r="P68" t="s">
        <v>43</v>
      </c>
      <c r="AD68" t="s">
        <v>44</v>
      </c>
    </row>
    <row r="69" spans="2:30" x14ac:dyDescent="0.3">
      <c r="B69" s="82" t="str">
        <f t="shared" si="4"/>
        <v>Personeel</v>
      </c>
      <c r="C69" s="83"/>
      <c r="D69" s="30">
        <v>1286803.1797201622</v>
      </c>
      <c r="E69" s="30"/>
      <c r="F69" s="30">
        <f>1316915.84972016-D69</f>
        <v>30112.66999999783</v>
      </c>
      <c r="G69" s="30"/>
      <c r="H69" s="30"/>
      <c r="I69" s="30"/>
      <c r="J69" s="22">
        <f t="shared" si="10"/>
        <v>30112.66999999783</v>
      </c>
      <c r="K69" s="43">
        <f t="shared" si="11"/>
        <v>30112.66999999783</v>
      </c>
      <c r="L69" s="22">
        <f t="shared" ref="L69:L71" si="57">MAX(10000,(D69*M69))</f>
        <v>386040.95391604863</v>
      </c>
      <c r="M69" s="23">
        <v>0.3</v>
      </c>
      <c r="N69" s="34">
        <f t="shared" si="14"/>
        <v>1316915.84972016</v>
      </c>
      <c r="P69" t="s">
        <v>39</v>
      </c>
      <c r="AD69" t="s">
        <v>40</v>
      </c>
    </row>
    <row r="70" spans="2:30" x14ac:dyDescent="0.3">
      <c r="B70" s="46" t="str">
        <f t="shared" si="4"/>
        <v>Evaluatie &amp; Audit</v>
      </c>
      <c r="C70" s="47"/>
      <c r="D70" s="28">
        <v>111969.58931371194</v>
      </c>
      <c r="E70" s="28"/>
      <c r="F70" s="28">
        <f>114303.939313712-D70</f>
        <v>2334.350000000064</v>
      </c>
      <c r="G70" s="28"/>
      <c r="H70" s="28"/>
      <c r="I70" s="28"/>
      <c r="J70" s="18">
        <f t="shared" si="10"/>
        <v>2334.350000000064</v>
      </c>
      <c r="K70" s="43">
        <f t="shared" si="11"/>
        <v>2334.350000000064</v>
      </c>
      <c r="L70" s="18">
        <f t="shared" si="57"/>
        <v>33590.876794113581</v>
      </c>
      <c r="M70" s="19">
        <v>0.3</v>
      </c>
      <c r="N70" s="34">
        <f t="shared" si="14"/>
        <v>114303.93931371201</v>
      </c>
      <c r="P70" t="s">
        <v>45</v>
      </c>
      <c r="AD70" t="s">
        <v>46</v>
      </c>
    </row>
    <row r="71" spans="2:30" x14ac:dyDescent="0.3">
      <c r="B71" s="50" t="str">
        <f t="shared" si="4"/>
        <v>Andere beheerkosten</v>
      </c>
      <c r="C71" s="51"/>
      <c r="D71" s="29">
        <v>165278.95556000003</v>
      </c>
      <c r="E71" s="29"/>
      <c r="F71" s="29">
        <f>165278.95556-D71</f>
        <v>0</v>
      </c>
      <c r="G71" s="29"/>
      <c r="H71" s="29"/>
      <c r="I71" s="29"/>
      <c r="J71" s="20">
        <f t="shared" si="10"/>
        <v>0</v>
      </c>
      <c r="K71" s="43">
        <f t="shared" si="11"/>
        <v>0</v>
      </c>
      <c r="L71" s="20">
        <f t="shared" si="57"/>
        <v>49583.686668000009</v>
      </c>
      <c r="M71" s="21">
        <v>0.3</v>
      </c>
      <c r="N71" s="34">
        <f t="shared" si="14"/>
        <v>165278.95556000003</v>
      </c>
      <c r="P71" t="s">
        <v>47</v>
      </c>
      <c r="AD71" t="s">
        <v>48</v>
      </c>
    </row>
    <row r="72" spans="2:30" ht="15" hidden="1" thickBot="1" x14ac:dyDescent="0.35">
      <c r="B72" s="80" t="str">
        <f t="shared" si="4"/>
        <v>ADMINISTRATIEKOSTEN</v>
      </c>
      <c r="C72" s="81"/>
      <c r="D72" s="8">
        <f t="shared" ref="D72:I72" si="58">SUM(D73+D74+D75)</f>
        <v>0</v>
      </c>
      <c r="E72" s="8">
        <f t="shared" si="58"/>
        <v>0</v>
      </c>
      <c r="F72" s="8">
        <f t="shared" si="58"/>
        <v>0</v>
      </c>
      <c r="G72" s="8">
        <f t="shared" si="58"/>
        <v>0</v>
      </c>
      <c r="H72" s="8">
        <f t="shared" si="58"/>
        <v>0</v>
      </c>
      <c r="I72" s="8">
        <f t="shared" si="58"/>
        <v>0</v>
      </c>
      <c r="J72" s="8">
        <f t="shared" si="10"/>
        <v>0</v>
      </c>
      <c r="K72" s="42">
        <f>ABS(J72)</f>
        <v>0</v>
      </c>
      <c r="L72" s="8">
        <v>0</v>
      </c>
      <c r="M72" s="9">
        <v>0</v>
      </c>
      <c r="N72" s="10">
        <f t="shared" si="14"/>
        <v>0</v>
      </c>
      <c r="P72" t="s">
        <v>49</v>
      </c>
      <c r="AD72" t="s">
        <v>50</v>
      </c>
    </row>
    <row r="73" spans="2:30" hidden="1" x14ac:dyDescent="0.3">
      <c r="B73" s="82" t="str">
        <f t="shared" si="4"/>
        <v>Investering</v>
      </c>
      <c r="C73" s="83"/>
      <c r="D73" s="30"/>
      <c r="E73" s="30"/>
      <c r="F73" s="30"/>
      <c r="G73" s="30"/>
      <c r="H73" s="30"/>
      <c r="I73" s="30"/>
      <c r="J73" s="22">
        <f t="shared" si="10"/>
        <v>0</v>
      </c>
      <c r="K73" s="43">
        <f t="shared" si="11"/>
        <v>0</v>
      </c>
      <c r="L73" s="22">
        <f t="shared" ref="L73:L75" si="59">MAX(10000,(D73*M73))</f>
        <v>10000</v>
      </c>
      <c r="M73" s="23">
        <v>0.3</v>
      </c>
      <c r="N73" s="35">
        <f t="shared" si="14"/>
        <v>0</v>
      </c>
      <c r="P73" t="s">
        <v>35</v>
      </c>
      <c r="AD73" t="s">
        <v>36</v>
      </c>
    </row>
    <row r="74" spans="2:30" hidden="1" x14ac:dyDescent="0.3">
      <c r="B74" s="46" t="str">
        <f t="shared" si="4"/>
        <v>Werking</v>
      </c>
      <c r="C74" s="47"/>
      <c r="D74" s="28"/>
      <c r="E74" s="28"/>
      <c r="F74" s="28"/>
      <c r="G74" s="28"/>
      <c r="H74" s="28"/>
      <c r="I74" s="28"/>
      <c r="J74" s="18">
        <f t="shared" si="10"/>
        <v>0</v>
      </c>
      <c r="K74" s="43">
        <f t="shared" si="11"/>
        <v>0</v>
      </c>
      <c r="L74" s="18">
        <f t="shared" si="59"/>
        <v>10000</v>
      </c>
      <c r="M74" s="19">
        <v>0.3</v>
      </c>
      <c r="N74" s="34">
        <f t="shared" si="14"/>
        <v>0</v>
      </c>
      <c r="P74" t="s">
        <v>37</v>
      </c>
      <c r="AD74" t="s">
        <v>38</v>
      </c>
    </row>
    <row r="75" spans="2:30" ht="15" hidden="1" thickBot="1" x14ac:dyDescent="0.35">
      <c r="B75" s="78" t="str">
        <f t="shared" si="4"/>
        <v>Personeel</v>
      </c>
      <c r="C75" s="79"/>
      <c r="D75" s="31"/>
      <c r="E75" s="31"/>
      <c r="F75" s="31"/>
      <c r="G75" s="31"/>
      <c r="H75" s="31"/>
      <c r="I75" s="31"/>
      <c r="J75" s="24">
        <f t="shared" si="10"/>
        <v>0</v>
      </c>
      <c r="K75" s="43">
        <f t="shared" si="11"/>
        <v>0</v>
      </c>
      <c r="L75" s="24">
        <f t="shared" si="59"/>
        <v>10000</v>
      </c>
      <c r="M75" s="25">
        <v>0.3</v>
      </c>
      <c r="N75" s="36">
        <f t="shared" si="14"/>
        <v>0</v>
      </c>
      <c r="P75" t="s">
        <v>39</v>
      </c>
      <c r="AD75" t="s">
        <v>40</v>
      </c>
    </row>
    <row r="76" spans="2:30" ht="4.95" customHeight="1" thickBot="1" x14ac:dyDescent="0.35"/>
    <row r="77" spans="2:30" ht="15" thickBot="1" x14ac:dyDescent="0.35">
      <c r="B77" s="91" t="s">
        <v>66</v>
      </c>
      <c r="C77" s="92"/>
      <c r="D77" s="93">
        <f>D14+D68</f>
        <v>11196958.931371195</v>
      </c>
      <c r="E77" s="93">
        <f t="shared" ref="E77:I77" si="60">E14+E68</f>
        <v>0</v>
      </c>
      <c r="F77" s="93">
        <f t="shared" si="60"/>
        <v>233434.86000000246</v>
      </c>
      <c r="G77" s="93">
        <f t="shared" si="60"/>
        <v>0</v>
      </c>
      <c r="H77" s="93">
        <f t="shared" si="60"/>
        <v>0</v>
      </c>
      <c r="I77" s="93">
        <f t="shared" si="60"/>
        <v>0</v>
      </c>
      <c r="J77" s="93">
        <f t="shared" ref="J77" si="61">SUM(E77+F77+G77+H77+I77)</f>
        <v>233434.86000000246</v>
      </c>
      <c r="K77" s="42">
        <f>ABS(J77)</f>
        <v>233434.86000000246</v>
      </c>
      <c r="L77" s="93">
        <v>0</v>
      </c>
      <c r="M77" s="94">
        <v>0</v>
      </c>
      <c r="N77" s="95">
        <f t="shared" ref="N77" si="62">D77+J77</f>
        <v>11430393.791371198</v>
      </c>
      <c r="P77" t="s">
        <v>43</v>
      </c>
      <c r="AD77" t="s">
        <v>44</v>
      </c>
    </row>
    <row r="78" spans="2:30" ht="4.95" customHeight="1" thickBot="1" x14ac:dyDescent="0.35"/>
    <row r="79" spans="2:30" ht="15" thickBot="1" x14ac:dyDescent="0.35">
      <c r="B79" s="80" t="s">
        <v>67</v>
      </c>
      <c r="C79" s="81"/>
      <c r="D79" s="96">
        <v>783787.12517241377</v>
      </c>
      <c r="E79" s="96">
        <f t="shared" ref="E79:I79" si="63">SUM(E80+E83+E84)</f>
        <v>0</v>
      </c>
      <c r="F79" s="96">
        <f>800127.565517241-D79</f>
        <v>16340.44034482725</v>
      </c>
      <c r="G79" s="96">
        <f t="shared" si="63"/>
        <v>0</v>
      </c>
      <c r="H79" s="96">
        <f t="shared" si="63"/>
        <v>0</v>
      </c>
      <c r="I79" s="96">
        <f t="shared" si="63"/>
        <v>0</v>
      </c>
      <c r="J79" s="8">
        <f t="shared" ref="J79" si="64">SUM(E79+F79+G79+H79+I79)</f>
        <v>16340.44034482725</v>
      </c>
      <c r="K79" s="42">
        <f>ABS(J79)</f>
        <v>16340.44034482725</v>
      </c>
      <c r="L79" s="8">
        <v>0</v>
      </c>
      <c r="M79" s="9">
        <v>0</v>
      </c>
      <c r="N79" s="10">
        <f t="shared" ref="N79" si="65">D79+J79</f>
        <v>800127.56551724102</v>
      </c>
      <c r="P79" t="s">
        <v>43</v>
      </c>
      <c r="AD79" t="s">
        <v>44</v>
      </c>
    </row>
    <row r="80" spans="2:30" ht="4.95" customHeight="1" thickBot="1" x14ac:dyDescent="0.35"/>
    <row r="81" spans="2:30" ht="15" thickBot="1" x14ac:dyDescent="0.35">
      <c r="B81" s="91" t="s">
        <v>68</v>
      </c>
      <c r="C81" s="92"/>
      <c r="D81" s="93">
        <f>D77+D79</f>
        <v>11980746.056543609</v>
      </c>
      <c r="E81" s="93">
        <f t="shared" ref="E81:I81" si="66">E77+E79</f>
        <v>0</v>
      </c>
      <c r="F81" s="93">
        <f t="shared" si="66"/>
        <v>249775.30034482971</v>
      </c>
      <c r="G81" s="93">
        <f t="shared" si="66"/>
        <v>0</v>
      </c>
      <c r="H81" s="93">
        <f t="shared" si="66"/>
        <v>0</v>
      </c>
      <c r="I81" s="93">
        <f t="shared" si="66"/>
        <v>0</v>
      </c>
      <c r="J81" s="93">
        <f t="shared" ref="J81" si="67">SUM(E81+F81+G81+H81+I81)</f>
        <v>249775.30034482971</v>
      </c>
      <c r="K81" s="42">
        <f>ABS(J81)</f>
        <v>249775.30034482971</v>
      </c>
      <c r="L81" s="93">
        <v>0</v>
      </c>
      <c r="M81" s="94">
        <v>0</v>
      </c>
      <c r="N81" s="95">
        <f t="shared" ref="N81" si="68">D81+J81</f>
        <v>12230521.35688844</v>
      </c>
      <c r="P81" t="s">
        <v>43</v>
      </c>
      <c r="AD81" t="s">
        <v>44</v>
      </c>
    </row>
    <row r="82" spans="2:30" ht="4.95" customHeight="1" thickBot="1" x14ac:dyDescent="0.35"/>
    <row r="83" spans="2:30" ht="15" thickBot="1" x14ac:dyDescent="0.35">
      <c r="B83" s="80" t="s">
        <v>69</v>
      </c>
      <c r="C83" s="81"/>
      <c r="D83" s="96">
        <f>D77*0.8+D79</f>
        <v>9741354.2702693697</v>
      </c>
      <c r="E83" s="96"/>
      <c r="F83" s="96">
        <f t="shared" ref="F83" si="69">F77*0.8+F79</f>
        <v>203088.32834482923</v>
      </c>
      <c r="G83" s="96"/>
      <c r="H83" s="96"/>
      <c r="I83" s="96"/>
      <c r="J83" s="8">
        <f t="shared" ref="J83" si="70">SUM(E83+F83+G83+H83+I83)</f>
        <v>203088.32834482923</v>
      </c>
      <c r="K83" s="42">
        <f>ABS(J83)</f>
        <v>203088.32834482923</v>
      </c>
      <c r="L83" s="8">
        <v>0</v>
      </c>
      <c r="M83" s="9">
        <v>0</v>
      </c>
      <c r="N83" s="10">
        <f t="shared" ref="N83" si="71">D83+J83</f>
        <v>9944442.5986141991</v>
      </c>
      <c r="P83" t="s">
        <v>43</v>
      </c>
      <c r="AD83" t="s">
        <v>44</v>
      </c>
    </row>
    <row r="84" spans="2:30" x14ac:dyDescent="0.3"/>
  </sheetData>
  <sheetProtection sheet="1" objects="1" scenarios="1" formatCells="0"/>
  <mergeCells count="64">
    <mergeCell ref="B77:C77"/>
    <mergeCell ref="B79:C79"/>
    <mergeCell ref="B81:C81"/>
    <mergeCell ref="B83:C83"/>
    <mergeCell ref="B74:C74"/>
    <mergeCell ref="B10:N10"/>
    <mergeCell ref="B57:C57"/>
    <mergeCell ref="B58:C58"/>
    <mergeCell ref="B61:C61"/>
    <mergeCell ref="B62:C62"/>
    <mergeCell ref="M12:M13"/>
    <mergeCell ref="N12:N13"/>
    <mergeCell ref="J12:K13"/>
    <mergeCell ref="B14:C14"/>
    <mergeCell ref="B12:C13"/>
    <mergeCell ref="D12:D13"/>
    <mergeCell ref="E12:I12"/>
    <mergeCell ref="B65:C65"/>
    <mergeCell ref="B72:C72"/>
    <mergeCell ref="B73:C73"/>
    <mergeCell ref="B75:C75"/>
    <mergeCell ref="B17:C17"/>
    <mergeCell ref="B18:C18"/>
    <mergeCell ref="B19:C19"/>
    <mergeCell ref="B47:C47"/>
    <mergeCell ref="B48:C48"/>
    <mergeCell ref="B49:C49"/>
    <mergeCell ref="B68:C68"/>
    <mergeCell ref="B51:C51"/>
    <mergeCell ref="B52:C52"/>
    <mergeCell ref="B53:C53"/>
    <mergeCell ref="B56:C56"/>
    <mergeCell ref="B63:C63"/>
    <mergeCell ref="B69:C69"/>
    <mergeCell ref="B70:C70"/>
    <mergeCell ref="B71:C71"/>
    <mergeCell ref="B39:C39"/>
    <mergeCell ref="B42:C42"/>
    <mergeCell ref="B2:L2"/>
    <mergeCell ref="B5:E5"/>
    <mergeCell ref="B6:E6"/>
    <mergeCell ref="B7:E7"/>
    <mergeCell ref="B8:E8"/>
    <mergeCell ref="B4:N4"/>
    <mergeCell ref="F5:N5"/>
    <mergeCell ref="F6:N6"/>
    <mergeCell ref="F7:N7"/>
    <mergeCell ref="F8:N8"/>
    <mergeCell ref="B43:C43"/>
    <mergeCell ref="B44:C44"/>
    <mergeCell ref="L12:L13"/>
    <mergeCell ref="B66:C66"/>
    <mergeCell ref="B67:C67"/>
    <mergeCell ref="B22:C22"/>
    <mergeCell ref="B23:C23"/>
    <mergeCell ref="B24:C24"/>
    <mergeCell ref="B27:C27"/>
    <mergeCell ref="B28:C28"/>
    <mergeCell ref="B29:C29"/>
    <mergeCell ref="B32:C32"/>
    <mergeCell ref="B33:C33"/>
    <mergeCell ref="B34:C34"/>
    <mergeCell ref="B37:C37"/>
    <mergeCell ref="B38:C38"/>
  </mergeCells>
  <conditionalFormatting sqref="K14">
    <cfRule type="cellIs" dxfId="15" priority="64" operator="notEqual">
      <formula>0</formula>
    </cfRule>
  </conditionalFormatting>
  <conditionalFormatting sqref="K15:K53">
    <cfRule type="cellIs" dxfId="14" priority="5" operator="greaterThan">
      <formula>L15</formula>
    </cfRule>
  </conditionalFormatting>
  <conditionalFormatting sqref="K54:K55">
    <cfRule type="cellIs" dxfId="13" priority="33" operator="greaterThan">
      <formula>0</formula>
    </cfRule>
  </conditionalFormatting>
  <conditionalFormatting sqref="K56:K57">
    <cfRule type="cellIs" dxfId="12" priority="39" operator="greaterThan">
      <formula>L56</formula>
    </cfRule>
  </conditionalFormatting>
  <conditionalFormatting sqref="K59:K60">
    <cfRule type="cellIs" dxfId="11" priority="31" operator="greaterThan">
      <formula>0</formula>
    </cfRule>
  </conditionalFormatting>
  <conditionalFormatting sqref="K61:K62">
    <cfRule type="cellIs" dxfId="10" priority="41" operator="greaterThan">
      <formula>L61</formula>
    </cfRule>
  </conditionalFormatting>
  <conditionalFormatting sqref="K64">
    <cfRule type="cellIs" dxfId="9" priority="30" operator="greaterThan">
      <formula>0</formula>
    </cfRule>
  </conditionalFormatting>
  <conditionalFormatting sqref="K65:K66">
    <cfRule type="cellIs" dxfId="8" priority="43" operator="greaterThan">
      <formula>L65</formula>
    </cfRule>
  </conditionalFormatting>
  <conditionalFormatting sqref="K68">
    <cfRule type="cellIs" dxfId="7" priority="63" operator="notEqual">
      <formula>0</formula>
    </cfRule>
  </conditionalFormatting>
  <conditionalFormatting sqref="K69:K71">
    <cfRule type="cellIs" dxfId="6" priority="48" operator="greaterThan">
      <formula>L69</formula>
    </cfRule>
  </conditionalFormatting>
  <conditionalFormatting sqref="K72">
    <cfRule type="cellIs" dxfId="5" priority="62" operator="notEqual">
      <formula>0</formula>
    </cfRule>
  </conditionalFormatting>
  <conditionalFormatting sqref="K73:K75">
    <cfRule type="cellIs" dxfId="4" priority="45" operator="greaterThan">
      <formula>L73</formula>
    </cfRule>
  </conditionalFormatting>
  <conditionalFormatting sqref="K77">
    <cfRule type="cellIs" dxfId="3" priority="4" operator="notEqual">
      <formula>0</formula>
    </cfRule>
  </conditionalFormatting>
  <conditionalFormatting sqref="K79">
    <cfRule type="cellIs" dxfId="2" priority="2" operator="notEqual">
      <formula>0</formula>
    </cfRule>
  </conditionalFormatting>
  <conditionalFormatting sqref="K81">
    <cfRule type="cellIs" dxfId="1" priority="3" operator="notEqual">
      <formula>0</formula>
    </cfRule>
  </conditionalFormatting>
  <conditionalFormatting sqref="K83">
    <cfRule type="cellIs" dxfId="0" priority="1" operator="notEqual">
      <formula>0</formula>
    </cfRule>
  </conditionalFormatting>
  <dataValidations disablePrompts="1" count="1">
    <dataValidation type="list" allowBlank="1" showInputMessage="1" showErrorMessage="1" sqref="N2" xr:uid="{96CCA3F8-9728-4BCF-A491-7799E93206B1}">
      <formula1>$AB$2:$AB$3</formula1>
    </dataValidation>
  </dataValidations>
  <pageMargins left="0.25" right="0.25" top="0.75" bottom="0.75" header="0.3" footer="0.3"/>
  <pageSetup paperSize="9" scale="64" orientation="landscape" r:id="rId1"/>
  <ignoredErrors>
    <ignoredError sqref="L64 K54:L54 K55:K6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2F454BB0E84A4E90D84DA4238D48D3" ma:contentTypeVersion="14" ma:contentTypeDescription="Create a new document." ma:contentTypeScope="" ma:versionID="87dbd9ffb8808abcfa2d78e1306e7584">
  <xsd:schema xmlns:xsd="http://www.w3.org/2001/XMLSchema" xmlns:xs="http://www.w3.org/2001/XMLSchema" xmlns:p="http://schemas.microsoft.com/office/2006/metadata/properties" xmlns:ns2="3b75fe59-8faf-4761-93b6-b56a35a79251" xmlns:ns3="c0b8f84b-33fb-4643-8af1-1074bbe4fa9e" targetNamespace="http://schemas.microsoft.com/office/2006/metadata/properties" ma:root="true" ma:fieldsID="e20fb68ad91b0c0d1e3602e0a8bdaf13" ns2:_="" ns3:_="">
    <xsd:import namespace="3b75fe59-8faf-4761-93b6-b56a35a79251"/>
    <xsd:import namespace="c0b8f84b-33fb-4643-8af1-1074bbe4fa9e"/>
    <xsd:element name="properties">
      <xsd:complexType>
        <xsd:sequence>
          <xsd:element name="documentManagement">
            <xsd:complexType>
              <xsd:all>
                <xsd:element ref="ns2:p5e7a70900b24fdf9bcfb9b5fc846c60" minOccurs="0"/>
                <xsd:element ref="ns2:TaxCatchAll" minOccurs="0"/>
                <xsd:element ref="ns2:TaxCatchAllLabel" minOccurs="0"/>
                <xsd:element ref="ns2:ToBeArchive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75fe59-8faf-4761-93b6-b56a35a79251" elementFormDefault="qualified">
    <xsd:import namespace="http://schemas.microsoft.com/office/2006/documentManagement/types"/>
    <xsd:import namespace="http://schemas.microsoft.com/office/infopath/2007/PartnerControls"/>
    <xsd:element name="p5e7a70900b24fdf9bcfb9b5fc846c60" ma:index="8" nillable="true" ma:taxonomy="true" ma:internalName="p5e7a70900b24fdf9bcfb9b5fc846c60" ma:taxonomyFieldName="ArchiveCode" ma:displayName="Archive code" ma:default="" ma:fieldId="{95e7a709-00b2-4fdf-9bcf-b9b5fc846c60}" ma:sspId="8710b318-ea48-4423-a308-0e87359dff93" ma:termSetId="eca26591-3e39-4461-87f0-273b620e323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54b7c4f-360b-4af4-93fd-397f6b3ee70c}" ma:internalName="TaxCatchAll" ma:showField="CatchAllData" ma:web="3b75fe59-8faf-4761-93b6-b56a35a792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54b7c4f-360b-4af4-93fd-397f6b3ee70c}" ma:internalName="TaxCatchAllLabel" ma:readOnly="true" ma:showField="CatchAllDataLabel" ma:web="3b75fe59-8faf-4761-93b6-b56a35a792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oBeArchived" ma:index="12" nillable="true" ma:displayName="To be archived" ma:internalName="ToBeArchived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8f84b-33fb-4643-8af1-1074bbe4f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8710b318-ea48-4423-a308-0e87359dff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0b8f84b-33fb-4643-8af1-1074bbe4fa9e">
      <Terms xmlns="http://schemas.microsoft.com/office/infopath/2007/PartnerControls"/>
    </lcf76f155ced4ddcb4097134ff3c332f>
    <ToBeArchived xmlns="3b75fe59-8faf-4761-93b6-b56a35a79251" xsi:nil="true"/>
    <TaxCatchAll xmlns="3b75fe59-8faf-4761-93b6-b56a35a79251" xsi:nil="true"/>
    <p5e7a70900b24fdf9bcfb9b5fc846c60 xmlns="3b75fe59-8faf-4761-93b6-b56a35a79251">
      <Terms xmlns="http://schemas.microsoft.com/office/infopath/2007/PartnerControls"/>
    </p5e7a70900b24fdf9bcfb9b5fc846c60>
  </documentManagement>
</p:properties>
</file>

<file path=customXml/itemProps1.xml><?xml version="1.0" encoding="utf-8"?>
<ds:datastoreItem xmlns:ds="http://schemas.openxmlformats.org/officeDocument/2006/customXml" ds:itemID="{EE2DC19D-E11A-4886-A5FE-D9E8545C34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75fe59-8faf-4761-93b6-b56a35a79251"/>
    <ds:schemaRef ds:uri="c0b8f84b-33fb-4643-8af1-1074bbe4fa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A31A8B-7322-4429-8A04-4D13C24924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F21214-5BB2-4004-A7BE-3A4E3ACBF36B}">
  <ds:schemaRefs>
    <ds:schemaRef ds:uri="http://purl.org/dc/elements/1.1/"/>
    <ds:schemaRef ds:uri="3b75fe59-8faf-4761-93b6-b56a35a79251"/>
    <ds:schemaRef ds:uri="c0b8f84b-33fb-4643-8af1-1074bbe4fa9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SAB_OBA</vt:lpstr>
      <vt:lpstr>SAB_OBA!Zone_d_impression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Hove Aubry - D3.3</dc:creator>
  <cp:keywords/>
  <dc:description/>
  <cp:lastModifiedBy>Van Hove Aubry - DGeo.0</cp:lastModifiedBy>
  <cp:revision/>
  <dcterms:created xsi:type="dcterms:W3CDTF">2022-07-18T11:41:40Z</dcterms:created>
  <dcterms:modified xsi:type="dcterms:W3CDTF">2023-11-27T14:13:16Z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dc1db8-2f64-468c-a02a-c7d04ea19826_Enabled">
    <vt:lpwstr>true</vt:lpwstr>
  </property>
  <property fmtid="{D5CDD505-2E9C-101B-9397-08002B2CF9AE}" pid="3" name="MSIP_Label_dddc1db8-2f64-468c-a02a-c7d04ea19826_SetDate">
    <vt:lpwstr>2022-07-18T14:25:52Z</vt:lpwstr>
  </property>
  <property fmtid="{D5CDD505-2E9C-101B-9397-08002B2CF9AE}" pid="4" name="MSIP_Label_dddc1db8-2f64-468c-a02a-c7d04ea19826_Method">
    <vt:lpwstr>Privileged</vt:lpwstr>
  </property>
  <property fmtid="{D5CDD505-2E9C-101B-9397-08002B2CF9AE}" pid="5" name="MSIP_Label_dddc1db8-2f64-468c-a02a-c7d04ea19826_Name">
    <vt:lpwstr>Non classifié - Niet geclassificeerd</vt:lpwstr>
  </property>
  <property fmtid="{D5CDD505-2E9C-101B-9397-08002B2CF9AE}" pid="6" name="MSIP_Label_dddc1db8-2f64-468c-a02a-c7d04ea19826_SiteId">
    <vt:lpwstr>80153b30-e434-429b-b41c-0d47f9deec42</vt:lpwstr>
  </property>
  <property fmtid="{D5CDD505-2E9C-101B-9397-08002B2CF9AE}" pid="7" name="MSIP_Label_dddc1db8-2f64-468c-a02a-c7d04ea19826_ActionId">
    <vt:lpwstr>4e2781b7-5481-4904-8c61-69b22d63c2a8</vt:lpwstr>
  </property>
  <property fmtid="{D5CDD505-2E9C-101B-9397-08002B2CF9AE}" pid="8" name="MSIP_Label_dddc1db8-2f64-468c-a02a-c7d04ea19826_ContentBits">
    <vt:lpwstr>0</vt:lpwstr>
  </property>
  <property fmtid="{D5CDD505-2E9C-101B-9397-08002B2CF9AE}" pid="9" name="ContentTypeId">
    <vt:lpwstr>0x0101003A2F454BB0E84A4E90D84DA4238D48D3</vt:lpwstr>
  </property>
  <property fmtid="{D5CDD505-2E9C-101B-9397-08002B2CF9AE}" pid="10" name="MediaServiceImageTags">
    <vt:lpwstr/>
  </property>
  <property fmtid="{D5CDD505-2E9C-101B-9397-08002B2CF9AE}" pid="11" name="ArchiveCode">
    <vt:lpwstr/>
  </property>
</Properties>
</file>