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oxfamunited-my.sharepoint.com/personal/joan_roldan_serra_oxfam_org/Documents/Downloads/"/>
    </mc:Choice>
  </mc:AlternateContent>
  <xr:revisionPtr revIDLastSave="163" documentId="8_{930F1343-BC8E-44D2-88ED-9D03CD2A5C02}" xr6:coauthVersionLast="47" xr6:coauthVersionMax="47" xr10:uidLastSave="{F09DE1B7-B922-4170-8323-D0AFDAB9FFB8}"/>
  <workbookProtection workbookAlgorithmName="SHA-512" workbookHashValue="dHhl1wM+3r5etbVXnhCpirQYaMIUaHYxmWnE6780SY7zm7+81siOLk9dn5iLKTh16QOEaswkv8hbAmsSOCkl2g==" workbookSaltValue="KLr53mqU8a/WZvAWnMn+gA==" workbookSpinCount="100000" lockStructure="1"/>
  <bookViews>
    <workbookView xWindow="-120" yWindow="-120" windowWidth="29040" windowHeight="15840" firstSheet="2" activeTab="13"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6" i="114" l="1"/>
  <c r="Q61" i="119" l="1"/>
  <c r="Q60" i="119"/>
  <c r="P60" i="119"/>
  <c r="E6" i="5" l="1"/>
  <c r="D6" i="5"/>
  <c r="Q19" i="117"/>
  <c r="P19" i="117"/>
  <c r="Q41" i="117"/>
  <c r="P41" i="117"/>
  <c r="O41" i="116"/>
  <c r="O29" i="116"/>
  <c r="O11" i="116"/>
  <c r="O9" i="116"/>
  <c r="S39" i="90"/>
  <c r="R39" i="90"/>
  <c r="Q39" i="90"/>
  <c r="P39" i="90"/>
  <c r="O39" i="90"/>
  <c r="S36" i="90"/>
  <c r="R36" i="90"/>
  <c r="Q36" i="90"/>
  <c r="P36" i="90"/>
  <c r="O36" i="90"/>
  <c r="P15" i="90" l="1"/>
  <c r="Q15" i="90"/>
  <c r="Q14" i="90"/>
  <c r="P14" i="90"/>
  <c r="S14" i="90"/>
  <c r="R14" i="90"/>
  <c r="O14" i="90"/>
  <c r="Q36" i="116" l="1"/>
  <c r="P36" i="116"/>
  <c r="Q34" i="116"/>
  <c r="P34" i="116"/>
  <c r="Q18" i="116"/>
  <c r="P18" i="116"/>
  <c r="Q14" i="116"/>
  <c r="P14" i="116"/>
  <c r="Q10" i="116"/>
  <c r="P10" i="116"/>
  <c r="Q36" i="117" l="1"/>
  <c r="P36" i="117"/>
  <c r="P18" i="117"/>
  <c r="P10" i="117"/>
  <c r="Q10" i="117"/>
  <c r="Q36" i="118" l="1"/>
  <c r="P36" i="118"/>
  <c r="Q34" i="118"/>
  <c r="P34" i="118"/>
  <c r="Q14" i="118"/>
  <c r="Q18" i="118"/>
  <c r="P18" i="118"/>
  <c r="P14" i="118"/>
  <c r="Q10" i="118"/>
  <c r="P10" i="118"/>
  <c r="Q36" i="115" l="1"/>
  <c r="P36" i="115"/>
  <c r="Q18" i="115"/>
  <c r="P18" i="115"/>
  <c r="Q63" i="119" l="1"/>
  <c r="P63" i="119"/>
  <c r="P61" i="119"/>
  <c r="Q34" i="119" l="1"/>
  <c r="P34" i="119"/>
  <c r="Q19" i="119"/>
  <c r="P19" i="119"/>
  <c r="Q18" i="119"/>
  <c r="Q14" i="119"/>
  <c r="P14" i="119"/>
  <c r="E21" i="5" l="1"/>
  <c r="D21" i="5"/>
  <c r="E19" i="5"/>
  <c r="D19" i="5"/>
  <c r="Q34" i="90"/>
  <c r="P34" i="90"/>
  <c r="Q23" i="90"/>
  <c r="P23" i="90"/>
  <c r="Q22" i="90"/>
  <c r="P22" i="90"/>
  <c r="Q39" i="2"/>
  <c r="P39" i="2"/>
  <c r="Q23" i="2"/>
  <c r="P23" i="2"/>
  <c r="R23" i="90" l="1"/>
  <c r="R39" i="2"/>
  <c r="R23" i="2"/>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Q38" i="119"/>
  <c r="Q37" i="119" s="1"/>
  <c r="P38" i="119"/>
  <c r="O38" i="119"/>
  <c r="O37" i="119" s="1"/>
  <c r="R37" i="119"/>
  <c r="P37" i="119"/>
  <c r="T36" i="119"/>
  <c r="T35" i="119"/>
  <c r="T34" i="119"/>
  <c r="S33" i="119"/>
  <c r="S32" i="119" s="1"/>
  <c r="R33" i="119"/>
  <c r="Q33" i="119"/>
  <c r="Q32" i="119" s="1"/>
  <c r="P33" i="119"/>
  <c r="P32" i="119" s="1"/>
  <c r="O33" i="119"/>
  <c r="O32" i="119" s="1"/>
  <c r="R32" i="119"/>
  <c r="T31" i="119"/>
  <c r="T30" i="119"/>
  <c r="T29" i="119"/>
  <c r="S28" i="119"/>
  <c r="R28" i="119"/>
  <c r="R27" i="119" s="1"/>
  <c r="Q28" i="119"/>
  <c r="P28" i="119"/>
  <c r="P27" i="119" s="1"/>
  <c r="O28" i="119"/>
  <c r="O27" i="119" s="1"/>
  <c r="T23" i="119"/>
  <c r="T22" i="119"/>
  <c r="T21" i="119"/>
  <c r="S20" i="119"/>
  <c r="R20" i="119"/>
  <c r="Q20" i="119"/>
  <c r="P20" i="119"/>
  <c r="O20" i="119"/>
  <c r="T19" i="119"/>
  <c r="T18" i="119"/>
  <c r="T17" i="119"/>
  <c r="S16" i="119"/>
  <c r="R16" i="119"/>
  <c r="Q16" i="119"/>
  <c r="P16" i="119"/>
  <c r="O16" i="119"/>
  <c r="T15" i="119"/>
  <c r="T14" i="119"/>
  <c r="T13" i="119"/>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S38" i="118"/>
  <c r="S37" i="118" s="1"/>
  <c r="R38" i="118"/>
  <c r="R37" i="118" s="1"/>
  <c r="Q38" i="118"/>
  <c r="Q37" i="118" s="1"/>
  <c r="P38" i="118"/>
  <c r="P37" i="118" s="1"/>
  <c r="O38" i="118"/>
  <c r="O37" i="118" s="1"/>
  <c r="T36" i="118"/>
  <c r="T35" i="118"/>
  <c r="T34" i="118"/>
  <c r="S33" i="118"/>
  <c r="S32" i="118" s="1"/>
  <c r="R33" i="118"/>
  <c r="R32" i="118" s="1"/>
  <c r="Q33" i="118"/>
  <c r="Q32" i="118" s="1"/>
  <c r="P33" i="118"/>
  <c r="P32" i="118" s="1"/>
  <c r="O33" i="118"/>
  <c r="O32" i="118" s="1"/>
  <c r="T31" i="118"/>
  <c r="T30" i="118"/>
  <c r="T29" i="118"/>
  <c r="S28" i="118"/>
  <c r="R28" i="118"/>
  <c r="R27" i="118" s="1"/>
  <c r="Q28" i="118"/>
  <c r="P28" i="118"/>
  <c r="P27" i="118" s="1"/>
  <c r="O28" i="118"/>
  <c r="O27" i="118" s="1"/>
  <c r="T23" i="118"/>
  <c r="T22" i="118"/>
  <c r="T20" i="118" s="1"/>
  <c r="T21" i="118"/>
  <c r="S20" i="118"/>
  <c r="R20" i="118"/>
  <c r="Q20" i="118"/>
  <c r="P20" i="118"/>
  <c r="O20" i="118"/>
  <c r="T19" i="118"/>
  <c r="T18" i="118"/>
  <c r="T17" i="118"/>
  <c r="S16" i="118"/>
  <c r="R16" i="118"/>
  <c r="Q16" i="118"/>
  <c r="P16" i="118"/>
  <c r="O16" i="118"/>
  <c r="T15" i="118"/>
  <c r="T14" i="118"/>
  <c r="T13" i="118"/>
  <c r="S12" i="118"/>
  <c r="R12" i="118"/>
  <c r="Q12" i="118"/>
  <c r="P12" i="118"/>
  <c r="O12" i="118"/>
  <c r="T11" i="118"/>
  <c r="T10" i="118"/>
  <c r="T9"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S38" i="117"/>
  <c r="S37" i="117" s="1"/>
  <c r="R38" i="117"/>
  <c r="R37" i="117" s="1"/>
  <c r="Q38" i="117"/>
  <c r="Q37" i="117" s="1"/>
  <c r="P38" i="117"/>
  <c r="P37" i="117" s="1"/>
  <c r="O38" i="117"/>
  <c r="O37" i="117" s="1"/>
  <c r="T36" i="117"/>
  <c r="T35" i="117"/>
  <c r="T34" i="117"/>
  <c r="S33" i="117"/>
  <c r="S32" i="117" s="1"/>
  <c r="R33" i="117"/>
  <c r="R32" i="117" s="1"/>
  <c r="Q33" i="117"/>
  <c r="Q32" i="117" s="1"/>
  <c r="P33" i="117"/>
  <c r="P32" i="117" s="1"/>
  <c r="O33" i="117"/>
  <c r="O32" i="117" s="1"/>
  <c r="T31" i="117"/>
  <c r="T30" i="117"/>
  <c r="T29" i="117"/>
  <c r="T28" i="117" s="1"/>
  <c r="S28" i="117"/>
  <c r="R28" i="117"/>
  <c r="Q28" i="117"/>
  <c r="P28" i="117"/>
  <c r="O28" i="117"/>
  <c r="R27" i="117"/>
  <c r="P27" i="117"/>
  <c r="T23" i="117"/>
  <c r="T22" i="117"/>
  <c r="T20" i="117" s="1"/>
  <c r="T21" i="117"/>
  <c r="S20" i="117"/>
  <c r="R20" i="117"/>
  <c r="Q20" i="117"/>
  <c r="P20" i="117"/>
  <c r="O20" i="117"/>
  <c r="T19" i="117"/>
  <c r="T18" i="117"/>
  <c r="T17" i="117"/>
  <c r="S16" i="117"/>
  <c r="R16" i="117"/>
  <c r="Q16" i="117"/>
  <c r="P16" i="117"/>
  <c r="O16" i="117"/>
  <c r="T15" i="117"/>
  <c r="T14" i="117"/>
  <c r="T13" i="117"/>
  <c r="S12" i="117"/>
  <c r="R12" i="117"/>
  <c r="Q12" i="117"/>
  <c r="P12" i="117"/>
  <c r="O12" i="117"/>
  <c r="T11" i="117"/>
  <c r="T10" i="117"/>
  <c r="T9"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S38" i="116"/>
  <c r="S37" i="116" s="1"/>
  <c r="R38" i="116"/>
  <c r="R37" i="116" s="1"/>
  <c r="Q38" i="116"/>
  <c r="Q37" i="116" s="1"/>
  <c r="P38" i="116"/>
  <c r="P37" i="116" s="1"/>
  <c r="O38" i="116"/>
  <c r="O37" i="116" s="1"/>
  <c r="T36" i="116"/>
  <c r="T35" i="116"/>
  <c r="T34" i="116"/>
  <c r="S33" i="116"/>
  <c r="S32" i="116" s="1"/>
  <c r="R33" i="116"/>
  <c r="R32" i="116" s="1"/>
  <c r="Q33" i="116"/>
  <c r="Q32" i="116" s="1"/>
  <c r="P33" i="116"/>
  <c r="P32" i="116" s="1"/>
  <c r="O33" i="116"/>
  <c r="O32" i="116" s="1"/>
  <c r="T31" i="116"/>
  <c r="T30" i="116"/>
  <c r="T29" i="116"/>
  <c r="S28" i="116"/>
  <c r="S27" i="116" s="1"/>
  <c r="R28" i="116"/>
  <c r="Q28" i="116"/>
  <c r="P28" i="116"/>
  <c r="P27" i="116" s="1"/>
  <c r="O28" i="116"/>
  <c r="O27" i="116" s="1"/>
  <c r="R27" i="116"/>
  <c r="T23" i="116"/>
  <c r="T22" i="116"/>
  <c r="T20" i="116" s="1"/>
  <c r="T21" i="116"/>
  <c r="S20" i="116"/>
  <c r="R20" i="116"/>
  <c r="Q20" i="116"/>
  <c r="P20" i="116"/>
  <c r="O20" i="116"/>
  <c r="T19" i="116"/>
  <c r="T18" i="116"/>
  <c r="T17" i="116"/>
  <c r="S16" i="116"/>
  <c r="R16" i="116"/>
  <c r="Q16" i="116"/>
  <c r="P16" i="116"/>
  <c r="O16" i="116"/>
  <c r="T15" i="116"/>
  <c r="T14" i="116"/>
  <c r="T13" i="116"/>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38" i="115" s="1"/>
  <c r="T40" i="115"/>
  <c r="T39" i="115"/>
  <c r="S38" i="115"/>
  <c r="S37" i="115" s="1"/>
  <c r="R38" i="115"/>
  <c r="R37" i="115" s="1"/>
  <c r="Q38" i="115"/>
  <c r="Q37" i="115" s="1"/>
  <c r="P38" i="115"/>
  <c r="P37" i="115" s="1"/>
  <c r="O38" i="115"/>
  <c r="O37" i="115" s="1"/>
  <c r="T36" i="115"/>
  <c r="T35" i="115"/>
  <c r="T34" i="115"/>
  <c r="S33" i="115"/>
  <c r="S32" i="115" s="1"/>
  <c r="R33" i="115"/>
  <c r="R32" i="115" s="1"/>
  <c r="Q33" i="115"/>
  <c r="Q32" i="115" s="1"/>
  <c r="P33" i="115"/>
  <c r="P32" i="115" s="1"/>
  <c r="O33" i="115"/>
  <c r="O32" i="115" s="1"/>
  <c r="T31" i="115"/>
  <c r="T30" i="115"/>
  <c r="T29" i="115"/>
  <c r="S28" i="115"/>
  <c r="R28" i="115"/>
  <c r="R27" i="115" s="1"/>
  <c r="Q28" i="115"/>
  <c r="P28" i="115"/>
  <c r="P27" i="115" s="1"/>
  <c r="O28" i="115"/>
  <c r="O27" i="115" s="1"/>
  <c r="T23" i="115"/>
  <c r="T22" i="115"/>
  <c r="T20" i="115" s="1"/>
  <c r="T21" i="115"/>
  <c r="S20" i="115"/>
  <c r="R20" i="115"/>
  <c r="Q20" i="115"/>
  <c r="P20" i="115"/>
  <c r="O20" i="115"/>
  <c r="T19" i="115"/>
  <c r="T18" i="115"/>
  <c r="T17" i="115"/>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R32" i="114" s="1"/>
  <c r="Q33" i="114"/>
  <c r="Q32" i="114" s="1"/>
  <c r="P33" i="114"/>
  <c r="P32" i="114" s="1"/>
  <c r="O33" i="114"/>
  <c r="O32" i="114" s="1"/>
  <c r="T31" i="114"/>
  <c r="T30" i="114"/>
  <c r="T29" i="114"/>
  <c r="S28" i="114"/>
  <c r="R28" i="114"/>
  <c r="Q28" i="114"/>
  <c r="P28" i="114"/>
  <c r="O28" i="114"/>
  <c r="O27" i="114" s="1"/>
  <c r="T23" i="114"/>
  <c r="T22" i="114"/>
  <c r="T20" i="114" s="1"/>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O28" i="90"/>
  <c r="P27" i="90"/>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S26" i="90" l="1"/>
  <c r="S58" i="90" s="1"/>
  <c r="S26" i="116"/>
  <c r="S58" i="116" s="1"/>
  <c r="O26" i="117"/>
  <c r="O58" i="117" s="1"/>
  <c r="T38" i="118"/>
  <c r="T37" i="118" s="1"/>
  <c r="B37" i="118" s="1"/>
  <c r="Q26" i="114"/>
  <c r="Q58" i="114" s="1"/>
  <c r="P26" i="114"/>
  <c r="P58" i="114" s="1"/>
  <c r="O26" i="119"/>
  <c r="O58" i="119" s="1"/>
  <c r="T33" i="119"/>
  <c r="T32" i="119" s="1"/>
  <c r="B32" i="119" s="1"/>
  <c r="P26" i="119"/>
  <c r="P58" i="119" s="1"/>
  <c r="T20" i="119"/>
  <c r="R26" i="118"/>
  <c r="R58" i="118" s="1"/>
  <c r="T16" i="118"/>
  <c r="O27" i="117"/>
  <c r="T38" i="117"/>
  <c r="T37" i="117" s="1"/>
  <c r="B37" i="117" s="1"/>
  <c r="O26" i="90"/>
  <c r="O58" i="90" s="1"/>
  <c r="T33" i="118"/>
  <c r="T32" i="118" s="1"/>
  <c r="B32" i="118" s="1"/>
  <c r="Q26" i="118"/>
  <c r="Q58" i="118" s="1"/>
  <c r="S26" i="118"/>
  <c r="S58" i="118" s="1"/>
  <c r="P26" i="118"/>
  <c r="P58" i="118" s="1"/>
  <c r="O26" i="118"/>
  <c r="O58" i="118" s="1"/>
  <c r="T28" i="118"/>
  <c r="T27" i="118" s="1"/>
  <c r="T12" i="118"/>
  <c r="T8" i="118"/>
  <c r="T33" i="116"/>
  <c r="T32" i="116" s="1"/>
  <c r="B32" i="116" s="1"/>
  <c r="T16" i="116"/>
  <c r="P26" i="116"/>
  <c r="P58" i="116" s="1"/>
  <c r="O26" i="116"/>
  <c r="O58" i="116" s="1"/>
  <c r="Q26" i="116"/>
  <c r="Q58" i="116" s="1"/>
  <c r="R26" i="116"/>
  <c r="R58" i="116" s="1"/>
  <c r="T38" i="116"/>
  <c r="T37" i="116" s="1"/>
  <c r="B37" i="116" s="1"/>
  <c r="T28" i="116"/>
  <c r="T27" i="116" s="1"/>
  <c r="T12" i="116"/>
  <c r="T8" i="116"/>
  <c r="T28" i="115"/>
  <c r="T27" i="115" s="1"/>
  <c r="R26" i="115"/>
  <c r="R58" i="115" s="1"/>
  <c r="Q26" i="115"/>
  <c r="Q58" i="115" s="1"/>
  <c r="S26" i="115"/>
  <c r="S58" i="115" s="1"/>
  <c r="T33" i="115"/>
  <c r="T32" i="115" s="1"/>
  <c r="B32" i="115" s="1"/>
  <c r="O26" i="115"/>
  <c r="O58" i="115" s="1"/>
  <c r="T16" i="115"/>
  <c r="T8" i="115"/>
  <c r="T12" i="115"/>
  <c r="T37" i="115"/>
  <c r="B37" i="115" s="1"/>
  <c r="T38" i="119"/>
  <c r="T37" i="119" s="1"/>
  <c r="B37" i="119" s="1"/>
  <c r="Q26" i="119"/>
  <c r="Q58" i="119" s="1"/>
  <c r="R26" i="119"/>
  <c r="R58" i="119" s="1"/>
  <c r="S26" i="119"/>
  <c r="S58" i="119" s="1"/>
  <c r="T28" i="119"/>
  <c r="T27" i="119" s="1"/>
  <c r="T16" i="119"/>
  <c r="T12" i="119"/>
  <c r="T8" i="119"/>
  <c r="T28" i="114"/>
  <c r="T27" i="114" s="1"/>
  <c r="T33" i="114"/>
  <c r="T32" i="114" s="1"/>
  <c r="B32" i="114" s="1"/>
  <c r="R26" i="114"/>
  <c r="R58" i="114" s="1"/>
  <c r="T16" i="114"/>
  <c r="T38" i="114"/>
  <c r="T37" i="114" s="1"/>
  <c r="B37" i="114" s="1"/>
  <c r="S26" i="114"/>
  <c r="S58" i="114" s="1"/>
  <c r="T57" i="114"/>
  <c r="O26" i="114"/>
  <c r="O58" i="114" s="1"/>
  <c r="P27" i="114"/>
  <c r="R27" i="114"/>
  <c r="T12" i="114"/>
  <c r="T8" i="114"/>
  <c r="T57" i="119"/>
  <c r="T8" i="117"/>
  <c r="T16" i="117"/>
  <c r="T12" i="117"/>
  <c r="T27" i="117"/>
  <c r="P26" i="117"/>
  <c r="P58" i="117" s="1"/>
  <c r="T33" i="117"/>
  <c r="T32" i="117" s="1"/>
  <c r="B32" i="117" s="1"/>
  <c r="R26" i="117"/>
  <c r="R58" i="117" s="1"/>
  <c r="Q26" i="117"/>
  <c r="Q58" i="117" s="1"/>
  <c r="S26" i="117"/>
  <c r="S58" i="117" s="1"/>
  <c r="T20" i="90"/>
  <c r="P26" i="90"/>
  <c r="P58" i="90" s="1"/>
  <c r="Q26" i="90"/>
  <c r="Q58" i="90" s="1"/>
  <c r="T33" i="90"/>
  <c r="T32" i="90" s="1"/>
  <c r="O27"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S27" i="119"/>
  <c r="O1" i="118"/>
  <c r="O4" i="118" s="1"/>
  <c r="O2" i="118"/>
  <c r="O3" i="118"/>
  <c r="Q27" i="118"/>
  <c r="S27" i="118"/>
  <c r="O1" i="117"/>
  <c r="O4" i="117" s="1"/>
  <c r="O3" i="117"/>
  <c r="O2" i="117"/>
  <c r="Q27" i="117"/>
  <c r="S27" i="117"/>
  <c r="Q27" i="116"/>
  <c r="O2" i="116"/>
  <c r="O3" i="116"/>
  <c r="O1" i="115"/>
  <c r="O4" i="115" s="1"/>
  <c r="O3" i="115"/>
  <c r="O2" i="115"/>
  <c r="P26" i="115"/>
  <c r="P58" i="115" s="1"/>
  <c r="Q27" i="115"/>
  <c r="S27" i="115"/>
  <c r="O1" i="114"/>
  <c r="O4" i="114" s="1"/>
  <c r="O3" i="114"/>
  <c r="O2" i="114"/>
  <c r="Q27" i="114"/>
  <c r="S27" i="114"/>
  <c r="S32" i="90"/>
  <c r="R26" i="90"/>
  <c r="R58" i="90" s="1"/>
  <c r="T12" i="90"/>
  <c r="T28" i="90"/>
  <c r="T27" i="90" s="1"/>
  <c r="T38" i="90"/>
  <c r="T37" i="90" s="1"/>
  <c r="B37" i="90" s="1"/>
  <c r="O1" i="90"/>
  <c r="O4" i="90" s="1"/>
  <c r="O3" i="90"/>
  <c r="O2" i="90"/>
  <c r="Q27" i="90"/>
  <c r="T26" i="90" l="1"/>
  <c r="T58" i="90" s="1"/>
  <c r="B58" i="90" s="1"/>
  <c r="T26" i="119"/>
  <c r="T58" i="119" s="1"/>
  <c r="B58" i="119" s="1"/>
  <c r="B27" i="117"/>
  <c r="B27" i="118"/>
  <c r="T26" i="114"/>
  <c r="T58" i="114" s="1"/>
  <c r="B58" i="114" s="1"/>
  <c r="T26" i="116"/>
  <c r="T58" i="116" s="1"/>
  <c r="B58" i="116" s="1"/>
  <c r="T26" i="118"/>
  <c r="T58" i="118" s="1"/>
  <c r="B58" i="118" s="1"/>
  <c r="B27" i="116"/>
  <c r="T26" i="115"/>
  <c r="T58" i="115" s="1"/>
  <c r="B58" i="115" s="1"/>
  <c r="B27" i="115"/>
  <c r="B27" i="119"/>
  <c r="B27" i="114"/>
  <c r="T26" i="117"/>
  <c r="T58" i="117" s="1"/>
  <c r="B58" i="117" s="1"/>
  <c r="B27" i="90"/>
  <c r="B32" i="90"/>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2" i="5"/>
  <c r="H11" i="5"/>
  <c r="H9" i="5"/>
  <c r="H8" i="5"/>
  <c r="H7" i="5"/>
  <c r="H6" i="5"/>
  <c r="H5" i="5" s="1"/>
  <c r="G18" i="5"/>
  <c r="F18" i="5"/>
  <c r="E18" i="5"/>
  <c r="D18" i="5"/>
  <c r="C18" i="5"/>
  <c r="G14" i="5"/>
  <c r="F14" i="5"/>
  <c r="E14" i="5"/>
  <c r="E13" i="5" s="1"/>
  <c r="D14" i="5"/>
  <c r="C14" i="5"/>
  <c r="G10" i="5"/>
  <c r="K37" i="7" s="1"/>
  <c r="F10" i="5"/>
  <c r="J37" i="7" s="1"/>
  <c r="E10" i="5"/>
  <c r="I37" i="7" s="1"/>
  <c r="D10" i="5"/>
  <c r="H37" i="7" s="1"/>
  <c r="C10" i="5"/>
  <c r="G37" i="7" s="1"/>
  <c r="G5" i="5"/>
  <c r="K36" i="7" s="1"/>
  <c r="F5" i="5"/>
  <c r="J36" i="7" s="1"/>
  <c r="E5" i="5"/>
  <c r="I36" i="7" s="1"/>
  <c r="D5" i="5"/>
  <c r="H36" i="7" s="1"/>
  <c r="C5" i="5"/>
  <c r="G36" i="7" s="1"/>
  <c r="H10" i="5" l="1"/>
  <c r="L37" i="7" s="1"/>
  <c r="F13" i="5"/>
  <c r="F4" i="5" s="1"/>
  <c r="H18" i="5"/>
  <c r="G13" i="5"/>
  <c r="K38" i="7" s="1"/>
  <c r="K39" i="7" s="1"/>
  <c r="H14" i="5"/>
  <c r="D13" i="5"/>
  <c r="H38" i="7" s="1"/>
  <c r="H39" i="7" s="1"/>
  <c r="I38" i="7"/>
  <c r="I39" i="7" s="1"/>
  <c r="E4" i="5"/>
  <c r="C13" i="5"/>
  <c r="G38" i="7" s="1"/>
  <c r="G39" i="7" s="1"/>
  <c r="L19" i="7"/>
  <c r="L18" i="7"/>
  <c r="K33" i="7"/>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J38" i="7" l="1"/>
  <c r="J39" i="7" s="1"/>
  <c r="L39" i="7" s="1"/>
  <c r="G4" i="5"/>
  <c r="H13" i="5"/>
  <c r="H4" i="5" s="1"/>
  <c r="D4" i="5"/>
  <c r="C4" i="5"/>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L38" i="7" l="1"/>
  <c r="T37" i="2"/>
  <c r="B37" i="2" s="1"/>
  <c r="T32" i="2"/>
  <c r="B32" i="2" s="1"/>
  <c r="T27" i="2"/>
  <c r="B27" i="2" s="1"/>
  <c r="T26" i="2"/>
  <c r="T58" i="2" s="1"/>
  <c r="B58" i="2" s="1"/>
  <c r="G2" i="12" l="1"/>
  <c r="N2" i="12" l="1"/>
  <c r="H2" i="12"/>
  <c r="I2" i="12" s="1"/>
  <c r="M2" i="12"/>
  <c r="I10" i="8" l="1"/>
  <c r="E1017" i="39" a="1"/>
  <c r="D260" i="39" a="1"/>
  <c r="H601" i="39" a="1"/>
  <c r="E391" i="39" a="1"/>
  <c r="I429" i="39" a="1"/>
  <c r="F414" i="39" a="1"/>
  <c r="H670" i="39" a="1"/>
  <c r="AD2745" i="9"/>
  <c r="E777" i="39" a="1"/>
  <c r="C912" i="39" a="1"/>
  <c r="F188" i="39" a="1"/>
  <c r="I235" i="39" a="1"/>
  <c r="C759" i="39" a="1"/>
  <c r="D784" i="39" a="1"/>
  <c r="E555" i="39" a="1"/>
  <c r="D55" i="39" a="1"/>
  <c r="C61" i="39" a="1"/>
  <c r="H982" i="39" a="1"/>
  <c r="G321" i="39" a="1"/>
  <c r="F219" i="39" a="1"/>
  <c r="E1016" i="39" a="1"/>
  <c r="AD4093" i="9"/>
  <c r="AD4370" i="9"/>
  <c r="E819" i="39" a="1"/>
  <c r="I294" i="39" a="1"/>
  <c r="C924" i="39" a="1"/>
  <c r="AD2885" i="9"/>
  <c r="H429" i="39" a="1"/>
  <c r="AD2727" i="9"/>
  <c r="I739" i="39" a="1"/>
  <c r="G968" i="39" a="1"/>
  <c r="D77" i="39" a="1"/>
  <c r="C903" i="39" a="1"/>
  <c r="AD620" i="9"/>
  <c r="I964" i="39" a="1"/>
  <c r="I472" i="39" a="1"/>
  <c r="G218" i="39" a="1"/>
  <c r="I284" i="39" a="1"/>
  <c r="E279" i="39" a="1"/>
  <c r="H841" i="39" a="1"/>
  <c r="I517" i="39" a="1"/>
  <c r="D621" i="39" a="1"/>
  <c r="AD2983" i="9"/>
  <c r="G935" i="39" a="1"/>
  <c r="I559" i="39" a="1"/>
  <c r="AD980" i="9"/>
  <c r="AD1320" i="9"/>
  <c r="C17" i="39" a="1"/>
  <c r="F789" i="39" a="1"/>
  <c r="H208" i="39" a="1"/>
  <c r="AD4012" i="9"/>
  <c r="C227" i="39" a="1"/>
  <c r="G423" i="39" a="1"/>
  <c r="E913" i="39" a="1"/>
  <c r="E463" i="39" a="1"/>
  <c r="F321" i="39" a="1"/>
  <c r="C536" i="39" a="1"/>
  <c r="I337" i="39" a="1"/>
  <c r="E302" i="39" a="1"/>
  <c r="C152" i="39" a="1"/>
  <c r="H12" i="6"/>
  <c r="E492" i="39" a="1"/>
  <c r="F265" i="39" a="1"/>
  <c r="G105" i="39" a="1"/>
  <c r="C609" i="39" a="1"/>
  <c r="G574" i="39" a="1"/>
  <c r="D261" i="39" a="1"/>
  <c r="F320" i="39" a="1"/>
  <c r="H190" i="39" a="1"/>
  <c r="G78" i="39" a="1"/>
  <c r="D592" i="39" a="1"/>
  <c r="AD1225" i="9"/>
  <c r="AD1764" i="9"/>
  <c r="D430" i="39" a="1"/>
  <c r="F886" i="39" a="1"/>
  <c r="AD294" i="9"/>
  <c r="AD494" i="9"/>
  <c r="D40" i="39" a="1"/>
  <c r="AD1900" i="9"/>
  <c r="F800" i="39" a="1"/>
  <c r="AD2277" i="9"/>
  <c r="G386" i="39" a="1"/>
  <c r="H291" i="39" a="1"/>
  <c r="H868" i="39" a="1"/>
  <c r="G133" i="39" a="1"/>
  <c r="H188" i="39" a="1"/>
  <c r="E303" i="39" a="1"/>
  <c r="AD177" i="9"/>
  <c r="I558" i="39" a="1"/>
  <c r="H913" i="39" a="1"/>
  <c r="AD2921" i="9"/>
  <c r="F550" i="39" a="1"/>
  <c r="H3" i="39" a="1"/>
  <c r="C689" i="39" a="1"/>
  <c r="I492" i="39" a="1"/>
  <c r="AD3822" i="9"/>
  <c r="I236" i="39" a="1"/>
  <c r="D435" i="39" a="1"/>
  <c r="C516" i="39" a="1"/>
  <c r="I614" i="39" a="1"/>
  <c r="AD4383" i="9"/>
  <c r="AD2411" i="9"/>
  <c r="B80" i="12"/>
  <c r="AD4224" i="9"/>
  <c r="E635" i="39" a="1"/>
  <c r="AD3974" i="9"/>
  <c r="H964" i="39" a="1"/>
  <c r="H71" i="39" a="1"/>
  <c r="D231" i="39" a="1"/>
  <c r="H68" i="39" a="1"/>
  <c r="F599" i="39" a="1"/>
  <c r="AD2370" i="9"/>
  <c r="F681" i="39" a="1"/>
  <c r="D590" i="39" a="1"/>
  <c r="AD1214" i="9"/>
  <c r="AD2447" i="9"/>
  <c r="C601" i="39" a="1"/>
  <c r="AD3121" i="9"/>
  <c r="C371" i="39" a="1"/>
  <c r="H994" i="39" a="1"/>
  <c r="D667" i="39" a="1"/>
  <c r="AD2863" i="9"/>
  <c r="AD697" i="9"/>
  <c r="D656" i="39" a="1"/>
  <c r="G7" i="6"/>
  <c r="AD786" i="9"/>
  <c r="C1013" i="39" a="1"/>
  <c r="F86" i="39" a="1"/>
  <c r="AD1175" i="9"/>
  <c r="I802" i="39" a="1"/>
  <c r="C225" i="39" a="1"/>
  <c r="H606" i="39" a="1"/>
  <c r="AD776" i="9"/>
  <c r="AD2228" i="9"/>
  <c r="AD4206" i="9"/>
  <c r="F553" i="39" a="1"/>
  <c r="E229" i="39" a="1"/>
  <c r="F429" i="39" a="1"/>
  <c r="D627" i="39" a="1"/>
  <c r="C419" i="39" a="1"/>
  <c r="C819" i="39" a="1"/>
  <c r="AD1360" i="9"/>
  <c r="H33" i="39" a="1"/>
  <c r="H147" i="39" a="1"/>
  <c r="F373" i="39" a="1"/>
  <c r="I603" i="39" a="1"/>
  <c r="F23" i="39" a="1"/>
  <c r="AD4196" i="9"/>
  <c r="D27" i="39" a="1"/>
  <c r="E50" i="39" a="1"/>
  <c r="AD1884" i="9"/>
  <c r="F571" i="39" a="1"/>
  <c r="I221" i="39" a="1"/>
  <c r="I484" i="39" a="1"/>
  <c r="E313" i="39" a="1"/>
  <c r="AD2658" i="9"/>
  <c r="E872" i="39" a="1"/>
  <c r="H1007" i="39" a="1"/>
  <c r="AD3361" i="9"/>
  <c r="B123" i="12"/>
  <c r="G598" i="39" a="1"/>
  <c r="D456" i="39" a="1"/>
  <c r="AD696" i="9"/>
  <c r="AD1717" i="9"/>
  <c r="D76" i="39" a="1"/>
  <c r="AD477" i="9"/>
  <c r="H578" i="39" a="1"/>
  <c r="G458" i="39" a="1"/>
  <c r="C94" i="39" a="1"/>
  <c r="AD743" i="9"/>
  <c r="AD3885" i="9"/>
  <c r="AD1460" i="9"/>
  <c r="C795" i="39" a="1"/>
  <c r="H847" i="39" a="1"/>
  <c r="F294" i="39" a="1"/>
  <c r="I52" i="39" a="1"/>
  <c r="I635" i="39" a="1"/>
  <c r="H953" i="39" a="1"/>
  <c r="I685" i="39" a="1"/>
  <c r="I147" i="39" a="1"/>
  <c r="D223" i="39" a="1"/>
  <c r="AD1958" i="9"/>
  <c r="D684" i="39" a="1"/>
  <c r="E903" i="39" a="1"/>
  <c r="E708" i="39" a="1"/>
  <c r="D53" i="39" a="1"/>
  <c r="AD1250" i="9"/>
  <c r="AD2245" i="9"/>
  <c r="F63" i="39" a="1"/>
  <c r="C243" i="39" a="1"/>
  <c r="D140" i="39" a="1"/>
  <c r="AD1122" i="9"/>
  <c r="AD976" i="9"/>
  <c r="F683" i="39" a="1"/>
  <c r="E805" i="39" a="1"/>
  <c r="C1016" i="39" a="1"/>
  <c r="H152" i="39" a="1"/>
  <c r="H838" i="39" a="1"/>
  <c r="AD4381" i="9"/>
  <c r="H8" i="39" a="1"/>
  <c r="I45" i="39" a="1"/>
  <c r="I164" i="39" a="1"/>
  <c r="F969" i="39" a="1"/>
  <c r="D161" i="39" a="1"/>
  <c r="G374" i="39" a="1"/>
  <c r="D726" i="39" a="1"/>
  <c r="C170" i="39" a="1"/>
  <c r="H683" i="39" a="1"/>
  <c r="C219" i="39" a="1"/>
  <c r="AD3223" i="9"/>
  <c r="D986" i="39" a="1"/>
  <c r="E709" i="39" a="1"/>
  <c r="E15" i="39" a="1"/>
  <c r="D532" i="39" a="1"/>
  <c r="E954" i="39" a="1"/>
  <c r="D364" i="39" a="1"/>
  <c r="D366" i="39" a="1"/>
  <c r="AD2951" i="9"/>
  <c r="I193" i="39" a="1"/>
  <c r="G656" i="39" a="1"/>
  <c r="D664" i="39" a="1"/>
  <c r="H126" i="39" a="1"/>
  <c r="H169" i="39" a="1"/>
  <c r="AD1140" i="9"/>
  <c r="C970" i="39" a="1"/>
  <c r="H236" i="39" a="1"/>
  <c r="H72" i="39" a="1"/>
  <c r="E434" i="39" a="1"/>
  <c r="F937" i="39" a="1"/>
  <c r="I443" i="39" a="1"/>
  <c r="E364" i="39" a="1"/>
  <c r="AD3666" i="9"/>
  <c r="AD1865" i="9"/>
  <c r="D356" i="39" a="1"/>
  <c r="G56" i="39" a="1"/>
  <c r="AD1306" i="9"/>
  <c r="I524" i="39" a="1"/>
  <c r="AD1915" i="9"/>
  <c r="I471" i="39" a="1"/>
  <c r="F149" i="39" a="1"/>
  <c r="F629" i="39" a="1"/>
  <c r="E718" i="39" a="1"/>
  <c r="G99" i="39" a="1"/>
  <c r="G71" i="39" a="1"/>
  <c r="H69" i="39" a="1"/>
  <c r="AD3720" i="9"/>
  <c r="C487" i="39" a="1"/>
  <c r="C67" i="39" a="1"/>
  <c r="C13" i="39" a="1"/>
  <c r="D865" i="39" a="1"/>
  <c r="H12" i="39" a="1"/>
  <c r="AD4502" i="9"/>
  <c r="G318" i="39" a="1"/>
  <c r="F335" i="39" a="1"/>
  <c r="F30" i="39" a="1"/>
  <c r="I988" i="39" a="1"/>
  <c r="G60" i="39" a="1"/>
  <c r="I473" i="39" a="1"/>
  <c r="AD2746" i="9"/>
  <c r="E119" i="39" a="1"/>
  <c r="G193" i="39" a="1"/>
  <c r="AD4269" i="9"/>
  <c r="D255" i="39" a="1"/>
  <c r="I449" i="39" a="1"/>
  <c r="AD2039" i="9"/>
  <c r="AD2006" i="9"/>
  <c r="D238" i="39" a="1"/>
  <c r="I198" i="39" a="1"/>
  <c r="F347" i="39" a="1"/>
  <c r="AD3498" i="9"/>
  <c r="AD3148" i="9"/>
  <c r="F826" i="39" a="1"/>
  <c r="D316" i="39" a="1"/>
  <c r="I519" i="39" a="1"/>
  <c r="AD1009" i="9"/>
  <c r="AD2160" i="9"/>
  <c r="D686" i="39" a="1"/>
  <c r="AD419" i="9"/>
  <c r="C828" i="39" a="1"/>
  <c r="H110" i="39" a="1"/>
  <c r="B171" i="12"/>
  <c r="C136" i="39" a="1"/>
  <c r="D408" i="39" a="1"/>
  <c r="F391" i="39" a="1"/>
  <c r="I160" i="39" a="1"/>
  <c r="G438" i="39" a="1"/>
  <c r="C778" i="39" a="1"/>
  <c r="I450" i="39" a="1"/>
  <c r="I310" i="39" a="1"/>
  <c r="H613" i="39" a="1"/>
  <c r="H952" i="39" a="1"/>
  <c r="D73" i="39" a="1"/>
  <c r="G61" i="39" a="1"/>
  <c r="H63" i="39" a="1"/>
  <c r="H189" i="39" a="1"/>
  <c r="F820" i="39" a="1"/>
  <c r="H82" i="39" a="1"/>
  <c r="E915" i="39" a="1"/>
  <c r="I647" i="39" a="1"/>
  <c r="G830" i="39" a="1"/>
  <c r="D44" i="39" a="1"/>
  <c r="AD1056" i="9"/>
  <c r="G748" i="39" a="1"/>
  <c r="AD3737" i="9"/>
  <c r="AD2880" i="9"/>
  <c r="E219" i="39" a="1"/>
  <c r="H430" i="39" a="1"/>
  <c r="E281" i="39" a="1"/>
  <c r="D687" i="39" a="1"/>
  <c r="AD1951" i="9"/>
  <c r="E675" i="39" a="1"/>
  <c r="B137" i="12"/>
  <c r="C511" i="39" a="1"/>
  <c r="G172" i="39" a="1"/>
  <c r="H824" i="39" a="1"/>
  <c r="I792" i="39" a="1"/>
  <c r="AD311" i="9"/>
  <c r="AD276" i="9"/>
  <c r="G929" i="39" a="1"/>
  <c r="C209" i="39" a="1"/>
  <c r="I68" i="39" a="1"/>
  <c r="E486" i="39" a="1"/>
  <c r="E816" i="39" a="1"/>
  <c r="G850" i="39" a="1"/>
  <c r="C303" i="39" a="1"/>
  <c r="C462" i="39" a="1"/>
  <c r="AD678" i="9"/>
  <c r="AD853" i="9"/>
  <c r="G143" i="39" a="1"/>
  <c r="H703" i="39" a="1"/>
  <c r="H149" i="39" a="1"/>
  <c r="D297" i="39" a="1"/>
  <c r="G906" i="39" a="1"/>
  <c r="H26" i="39" a="1"/>
  <c r="G35" i="39" a="1"/>
  <c r="AD1519" i="9"/>
  <c r="AD1472" i="9"/>
  <c r="E827" i="39" a="1"/>
  <c r="G216" i="39" a="1"/>
  <c r="AD2946" i="9"/>
  <c r="E792" i="39" a="1"/>
  <c r="E884" i="39" a="1"/>
  <c r="F102" i="39" a="1"/>
  <c r="C450" i="39" a="1"/>
  <c r="AD1773" i="9"/>
  <c r="H896" i="39" a="1"/>
  <c r="E619" i="39" a="1"/>
  <c r="G680" i="39" a="1"/>
  <c r="I405" i="39" a="1"/>
  <c r="F396" i="39" a="1"/>
  <c r="I887" i="39" a="1"/>
  <c r="G289" i="39" a="1"/>
  <c r="E471" i="39" a="1"/>
  <c r="H854" i="39" a="1"/>
  <c r="F451" i="39" a="1"/>
  <c r="AD82" i="9"/>
  <c r="C135" i="39" a="1"/>
  <c r="D182" i="39" a="1"/>
  <c r="E705" i="39" a="1"/>
  <c r="F645" i="39" a="1"/>
  <c r="AD679" i="9"/>
  <c r="AD590" i="9"/>
  <c r="F58" i="39" a="1"/>
  <c r="AD969" i="9"/>
  <c r="E160" i="39" a="1"/>
  <c r="C369" i="39" a="1"/>
  <c r="F663" i="39" a="1"/>
  <c r="F397" i="39" a="1"/>
  <c r="H117" i="39" a="1"/>
  <c r="C602" i="39" a="1"/>
  <c r="D43" i="39" a="1"/>
  <c r="AD4221" i="9"/>
  <c r="C398" i="39" a="1"/>
  <c r="H54" i="39" a="1"/>
  <c r="C933" i="39" a="1"/>
  <c r="AD2838" i="9"/>
  <c r="E589" i="39" a="1"/>
  <c r="H539" i="39" a="1"/>
  <c r="D653" i="39" a="1"/>
  <c r="F270" i="39" a="1"/>
  <c r="G619" i="39" a="1"/>
  <c r="AD3293" i="9"/>
  <c r="AD2772" i="9"/>
  <c r="I516" i="39" a="1"/>
  <c r="G755" i="39" a="1"/>
  <c r="G243" i="39" a="1"/>
  <c r="I667" i="39" a="1"/>
  <c r="C261" i="39" a="1"/>
  <c r="AD291" i="9"/>
  <c r="D932" i="39" a="1"/>
  <c r="D70" i="39" a="1"/>
  <c r="C26" i="39" a="1"/>
  <c r="G76" i="39" a="1"/>
  <c r="AD507" i="9"/>
  <c r="H676" i="39" a="1"/>
  <c r="H18" i="39" a="1"/>
  <c r="H405" i="39" a="1"/>
  <c r="I31" i="39" a="1"/>
  <c r="H32" i="39" a="1"/>
  <c r="E62" i="39" a="1"/>
  <c r="F455" i="39" a="1"/>
  <c r="C659" i="39" a="1"/>
  <c r="G403" i="39" a="1"/>
  <c r="C315" i="39" a="1"/>
  <c r="AD1623" i="9"/>
  <c r="AD191" i="9"/>
  <c r="AD2193" i="9"/>
  <c r="AD2104" i="9"/>
  <c r="H260" i="39" a="1"/>
  <c r="D21" i="39" a="1"/>
  <c r="AD2975" i="9"/>
  <c r="AD1820" i="9"/>
  <c r="C3" i="39" a="1"/>
  <c r="H974" i="39" a="1"/>
  <c r="I418" i="39" a="1"/>
  <c r="I1008" i="39" a="1"/>
  <c r="E482" i="39" a="1"/>
  <c r="H163" i="39" a="1"/>
  <c r="AD539" i="9"/>
  <c r="G313" i="39" a="1"/>
  <c r="C960" i="39" a="1"/>
  <c r="G421" i="39" a="1"/>
  <c r="AD744" i="9"/>
  <c r="G37" i="39" a="1"/>
  <c r="I776" i="39" a="1"/>
  <c r="H552" i="39" a="1"/>
  <c r="E788" i="39" a="1"/>
  <c r="E142" i="39" a="1"/>
  <c r="F403" i="39" a="1"/>
  <c r="F980" i="39" a="1"/>
  <c r="F251" i="39" a="1"/>
  <c r="H344" i="39" a="1"/>
  <c r="C430" i="39" a="1"/>
  <c r="G794" i="39" a="1"/>
  <c r="E436" i="39" a="1"/>
  <c r="AD1094" i="9"/>
  <c r="AD3902" i="9"/>
  <c r="AD4482" i="9"/>
  <c r="AD2461" i="9"/>
  <c r="D834" i="39" a="1"/>
  <c r="I619" i="39" a="1"/>
  <c r="E861" i="39" a="1"/>
  <c r="F560" i="39" a="1"/>
  <c r="AD4009" i="9"/>
  <c r="AD3765" i="9"/>
  <c r="D437" i="39" a="1"/>
  <c r="I911" i="39" a="1"/>
  <c r="AD488" i="9"/>
  <c r="F53" i="39" a="1"/>
  <c r="G55" i="39" a="1"/>
  <c r="G635" i="39" a="1"/>
  <c r="D931" i="39" a="1"/>
  <c r="AD244" i="9"/>
  <c r="F1024" i="39" a="1"/>
  <c r="G80" i="39" a="1"/>
  <c r="D856" i="39" a="1"/>
  <c r="I504" i="39" a="1"/>
  <c r="AD1282" i="9"/>
  <c r="AD1196" i="9"/>
  <c r="C310" i="39" a="1"/>
  <c r="AD770" i="9"/>
  <c r="F10" i="39" a="1"/>
  <c r="G339" i="39" a="1"/>
  <c r="F490" i="39" a="1"/>
  <c r="B109" i="12"/>
  <c r="AD3658" i="9"/>
  <c r="C305" i="39" a="1"/>
  <c r="AD3255" i="9"/>
  <c r="G835" i="39" a="1"/>
  <c r="AD4326" i="9"/>
  <c r="AD4215" i="9"/>
  <c r="F100" i="39" a="1"/>
  <c r="G189" i="39" a="1"/>
  <c r="E42" i="39" a="1"/>
  <c r="AD2177" i="9"/>
  <c r="I819" i="39" a="1"/>
  <c r="AD1674" i="9"/>
  <c r="F853" i="39" a="1"/>
  <c r="AD745" i="9"/>
  <c r="G700" i="39" a="1"/>
  <c r="I210" i="39" a="1"/>
  <c r="I112" i="39" a="1"/>
  <c r="C373" i="39" a="1"/>
  <c r="G849" i="39" a="1"/>
  <c r="E588" i="39" a="1"/>
  <c r="I119" i="39" a="1"/>
  <c r="G434" i="39" a="1"/>
  <c r="E11" i="39" a="1"/>
  <c r="C109" i="39" a="1"/>
  <c r="I351" i="39" a="1"/>
  <c r="E113" i="39" a="1"/>
  <c r="H487" i="39" a="1"/>
  <c r="H495" i="39" a="1"/>
  <c r="I539" i="39" a="1"/>
  <c r="D324" i="39" a="1"/>
  <c r="C631" i="39" a="1"/>
  <c r="G91" i="39" a="1"/>
  <c r="I114" i="39" a="1"/>
  <c r="AD4049" i="9"/>
  <c r="E600" i="39" a="1"/>
  <c r="F1002" i="39" a="1"/>
  <c r="E641" i="39" a="1"/>
  <c r="F332" i="39" a="1"/>
  <c r="D422" i="39" a="1"/>
  <c r="F934" i="39" a="1"/>
  <c r="AD2372" i="9"/>
  <c r="H88" i="39" a="1"/>
  <c r="F288" i="39" a="1"/>
  <c r="F176" i="39" a="1"/>
  <c r="D10" i="39" a="1"/>
  <c r="AD2062" i="9"/>
  <c r="H27" i="39" a="1"/>
  <c r="G357" i="39" a="1"/>
  <c r="D395" i="39" a="1"/>
  <c r="G897" i="39" a="1"/>
  <c r="G1013" i="39" a="1"/>
  <c r="I289" i="39" a="1"/>
  <c r="D336" i="39" a="1"/>
  <c r="AD2643" i="9"/>
  <c r="G363" i="39" a="1"/>
  <c r="E952" i="39" a="1"/>
  <c r="AD2412" i="9"/>
  <c r="G293" i="39" a="1"/>
  <c r="D189" i="39" a="1"/>
  <c r="D506" i="39" a="1"/>
  <c r="F9" i="39" a="1"/>
  <c r="F456" i="39" a="1"/>
  <c r="AD4177" i="9"/>
  <c r="E710" i="39" a="1"/>
  <c r="AD1855" i="9"/>
  <c r="D155" i="39" a="1"/>
  <c r="G319" i="39" a="1"/>
  <c r="F122" i="39" a="1"/>
  <c r="G314" i="39" a="1"/>
  <c r="H679" i="39" a="1"/>
  <c r="D134" i="39" a="1"/>
  <c r="AD1461" i="9"/>
  <c r="E205" i="39" a="1"/>
  <c r="H648" i="39" a="1"/>
  <c r="AD3694" i="9"/>
  <c r="D214" i="39" a="1"/>
  <c r="D476" i="39" a="1"/>
  <c r="F583" i="39" a="1"/>
  <c r="H477" i="39" a="1"/>
  <c r="I976" i="39" a="1"/>
  <c r="G397" i="39" a="1"/>
  <c r="H691" i="39" a="1"/>
  <c r="AD3585" i="9"/>
  <c r="AD3019" i="9"/>
  <c r="F690" i="39" a="1"/>
  <c r="E359" i="39" a="1"/>
  <c r="D640" i="39" a="1"/>
  <c r="AD3109" i="9"/>
  <c r="H212" i="39" a="1"/>
  <c r="D63" i="39" a="1"/>
  <c r="E21" i="39" a="1"/>
  <c r="AD4391" i="9"/>
  <c r="AD3833" i="9"/>
  <c r="I254" i="39" a="1"/>
  <c r="G231" i="39" a="1"/>
  <c r="C789" i="39" a="1"/>
  <c r="F524" i="39" a="1"/>
  <c r="G392" i="39" a="1"/>
  <c r="C645" i="39" a="1"/>
  <c r="H536" i="39" a="1"/>
  <c r="AD2330" i="9"/>
  <c r="I203" i="39" a="1"/>
  <c r="F817" i="39" a="1"/>
  <c r="F375" i="39" a="1"/>
  <c r="D264" i="39" a="1"/>
  <c r="H472" i="39" a="1"/>
  <c r="I749" i="39" a="1"/>
  <c r="G416" i="39" a="1"/>
  <c r="G749" i="39" a="1"/>
  <c r="C758" i="39" a="1"/>
  <c r="H419" i="39" a="1"/>
  <c r="H62" i="39" a="1"/>
  <c r="G987" i="39" a="1"/>
  <c r="E69" i="39" a="1"/>
  <c r="D186" i="39" a="1"/>
  <c r="E533" i="39" a="1"/>
  <c r="AD4364" i="9"/>
  <c r="B161" i="12"/>
  <c r="H782" i="39" a="1"/>
  <c r="D797" i="39" a="1"/>
  <c r="AD1596" i="9"/>
  <c r="F65" i="39" a="1"/>
  <c r="E358" i="39" a="1"/>
  <c r="F656" i="39" a="1"/>
  <c r="D620" i="39" a="1"/>
  <c r="AD803" i="9"/>
  <c r="H196" i="39" a="1"/>
  <c r="D62" i="39" a="1"/>
  <c r="E699" i="39" a="1"/>
  <c r="I75" i="39" a="1"/>
  <c r="AD2348" i="9"/>
  <c r="D573" i="39" a="1"/>
  <c r="H194" i="39" a="1"/>
  <c r="H111" i="39" a="1"/>
  <c r="AD1414" i="9"/>
  <c r="F854" i="39" a="1"/>
  <c r="F358" i="39" a="1"/>
  <c r="D385" i="39" a="1"/>
  <c r="E793" i="39" a="1"/>
  <c r="D723" i="39" a="1"/>
  <c r="C117" i="39" a="1"/>
  <c r="D36" i="39" a="1"/>
  <c r="D676" i="39" a="1"/>
  <c r="D417" i="39" a="1"/>
  <c r="D911" i="39" a="1"/>
  <c r="D39" i="39" a="1"/>
  <c r="I580" i="39" a="1"/>
  <c r="E676" i="39" a="1"/>
  <c r="D342" i="39" a="1"/>
  <c r="C64" i="39" a="1"/>
  <c r="E33" i="39" a="1"/>
  <c r="G43" i="39" a="1"/>
  <c r="C12" i="39" a="1"/>
  <c r="I537" i="39" a="1"/>
  <c r="H278" i="39" a="1"/>
  <c r="I864" i="39" a="1"/>
  <c r="G92" i="39" a="1"/>
  <c r="D467" i="39" a="1"/>
  <c r="F669" i="39" a="1"/>
  <c r="F354" i="39" a="1"/>
  <c r="AD3070" i="9"/>
  <c r="I29" i="39" a="1"/>
  <c r="D106" i="39" a="1"/>
  <c r="AD282" i="9"/>
  <c r="AD1008" i="9"/>
  <c r="F249" i="39" a="1"/>
  <c r="F197" i="39" a="1"/>
  <c r="D221" i="39" a="1"/>
  <c r="F830" i="39" a="1"/>
  <c r="I327" i="39" a="1"/>
  <c r="I823" i="39" a="1"/>
  <c r="E669" i="39" a="1"/>
  <c r="E444" i="39" a="1"/>
  <c r="G422" i="39" a="1"/>
  <c r="D748" i="39" a="1"/>
  <c r="I761" i="39" a="1"/>
  <c r="C344" i="39" a="1"/>
  <c r="G87" i="39" a="1"/>
  <c r="E685" i="39" a="1"/>
  <c r="AD406" i="9"/>
  <c r="I881" i="39" a="1"/>
  <c r="AD2543" i="9"/>
  <c r="G741" i="39" a="1"/>
  <c r="G371" i="39" a="1"/>
  <c r="G40" i="39" a="1"/>
  <c r="F976" i="39" a="1"/>
  <c r="AD2723" i="9"/>
  <c r="C767" i="39" a="1"/>
  <c r="D478" i="39" a="1"/>
  <c r="H394" i="39" a="1"/>
  <c r="E998" i="39" a="1"/>
  <c r="AD1627" i="9"/>
  <c r="I194" i="39" a="1"/>
  <c r="I627" i="39" a="1"/>
  <c r="E195" i="39" a="1"/>
  <c r="G679" i="39" a="1"/>
  <c r="E704" i="39" a="1"/>
  <c r="I132" i="39" a="1"/>
  <c r="AD3794" i="9"/>
  <c r="G823" i="39" a="1"/>
  <c r="I283" i="39" a="1"/>
  <c r="H25" i="39" a="1"/>
  <c r="I107" i="39" a="1"/>
  <c r="F384" i="39" a="1"/>
  <c r="E84" i="39" a="1"/>
  <c r="E91" i="39" a="1"/>
  <c r="E882" i="39" a="1"/>
  <c r="G72" i="39" a="1"/>
  <c r="F527" i="39" a="1"/>
  <c r="C381" i="39" a="1"/>
  <c r="G136" i="39" a="1"/>
  <c r="E394" i="39" a="1"/>
  <c r="H137" i="39" a="1"/>
  <c r="H813" i="39" a="1"/>
  <c r="E345" i="39" a="1"/>
  <c r="I186" i="39" a="1"/>
  <c r="F366" i="39" a="1"/>
  <c r="F91" i="39" a="1"/>
  <c r="F453" i="39" a="1"/>
  <c r="H7" i="39" a="1"/>
  <c r="F432" i="39" a="1"/>
  <c r="C193" i="39" a="1"/>
  <c r="E830" i="39" a="1"/>
  <c r="E575" i="39" a="1"/>
  <c r="D935" i="39" a="1"/>
  <c r="AD4100" i="9"/>
  <c r="AD166" i="9"/>
  <c r="E757" i="39" a="1"/>
  <c r="G451" i="39" a="1"/>
  <c r="G824" i="39" a="1"/>
  <c r="D1015" i="39" a="1"/>
  <c r="I391" i="39" a="1"/>
  <c r="AD1485" i="9"/>
  <c r="E992" i="39" a="1"/>
  <c r="AD1885" i="9"/>
  <c r="F597" i="39" a="1"/>
  <c r="AD3568" i="9"/>
  <c r="AD400" i="9"/>
  <c r="G123" i="39" a="1"/>
  <c r="G280" i="39" a="1"/>
  <c r="AD575" i="9"/>
  <c r="AD2264" i="9"/>
  <c r="F151" i="39" a="1"/>
  <c r="AD474" i="9"/>
  <c r="H356" i="39" a="1"/>
  <c r="H450" i="39" a="1"/>
  <c r="D852" i="39" a="1"/>
  <c r="AD2125" i="9"/>
  <c r="G514" i="39" a="1"/>
  <c r="G223" i="39" a="1"/>
  <c r="E126" i="39" a="1"/>
  <c r="F211" i="39" a="1"/>
  <c r="AD4052" i="9"/>
  <c r="AD1040" i="9"/>
  <c r="F138" i="39" a="1"/>
  <c r="AD1588" i="9"/>
  <c r="AD330" i="9"/>
  <c r="G366" i="39" a="1"/>
  <c r="AD2109" i="9"/>
  <c r="E125" i="39" a="1"/>
  <c r="F518" i="39" a="1"/>
  <c r="E395" i="39" a="1"/>
  <c r="AD1274" i="9"/>
  <c r="E178" i="39" a="1"/>
  <c r="E640" i="39" a="1"/>
  <c r="E924" i="39" a="1"/>
  <c r="D637" i="39" a="1"/>
  <c r="AD1666" i="9"/>
  <c r="F667" i="39" a="1"/>
  <c r="AD1337" i="9"/>
  <c r="D674" i="39" a="1"/>
  <c r="H412" i="39" a="1"/>
  <c r="AD336" i="9"/>
  <c r="F81" i="39" a="1"/>
  <c r="E81" i="39" a="1"/>
  <c r="H393" i="39" a="1"/>
  <c r="D500" i="39" a="1"/>
  <c r="H822" i="39" a="1"/>
  <c r="AD2953" i="9"/>
  <c r="D114" i="39" a="1"/>
  <c r="E34" i="39" a="1"/>
  <c r="AD2510" i="9"/>
  <c r="I671" i="39" a="1"/>
  <c r="F139" i="39" a="1"/>
  <c r="D409" i="39" a="1"/>
  <c r="C508" i="39" a="1"/>
  <c r="C477" i="39" a="1"/>
  <c r="F525" i="39" a="1"/>
  <c r="G814" i="39" a="1"/>
  <c r="AD2998" i="9"/>
  <c r="F31" i="39" a="1"/>
  <c r="F724" i="39" a="1"/>
  <c r="H5" i="39" a="1"/>
  <c r="I869" i="39" a="1"/>
  <c r="C1009" i="39" a="1"/>
  <c r="F172" i="39" a="1"/>
  <c r="E420" i="39" a="1"/>
  <c r="AD1705" i="9"/>
  <c r="H903" i="39" a="1"/>
  <c r="AD1828" i="9"/>
  <c r="I480" i="39" a="1"/>
  <c r="E56" i="39" a="1"/>
  <c r="I276" i="39" a="1"/>
  <c r="H138" i="39" a="1"/>
  <c r="G175" i="39" a="1"/>
  <c r="H21" i="39" a="1"/>
  <c r="I149" i="39" a="1"/>
  <c r="E534" i="39" a="1"/>
  <c r="C105" i="39" a="1"/>
  <c r="H162" i="39" a="1"/>
  <c r="H397" i="39" a="1"/>
  <c r="H209" i="39" a="1"/>
  <c r="AD2378" i="9"/>
  <c r="AD4498" i="9"/>
  <c r="H602" i="39" a="1"/>
  <c r="G783" i="39" a="1"/>
  <c r="C558" i="39" a="1"/>
  <c r="E677" i="39" a="1"/>
  <c r="G474" i="39" a="1"/>
  <c r="D479" i="39" a="1"/>
  <c r="F462" i="39" a="1"/>
  <c r="D47" i="39" a="1"/>
  <c r="AD1808" i="9"/>
  <c r="E385" i="39" a="1"/>
  <c r="AD3680" i="9"/>
  <c r="AD1452" i="9"/>
  <c r="D131" i="39" a="1"/>
  <c r="G264" i="39" a="1"/>
  <c r="C716" i="39" a="1"/>
  <c r="F662" i="39" a="1"/>
  <c r="AD2793" i="9"/>
  <c r="AD3776" i="9"/>
  <c r="C739" i="39" a="1"/>
  <c r="D175" i="39" a="1"/>
  <c r="C608" i="39" a="1"/>
  <c r="AD351" i="9"/>
  <c r="G349" i="39" a="1"/>
  <c r="AD1507" i="9"/>
  <c r="E900" i="39" a="1"/>
  <c r="E1008" i="39" a="1"/>
  <c r="D1009" i="39" a="1"/>
  <c r="D810" i="39" a="1"/>
  <c r="AD3479" i="9"/>
  <c r="AD2231" i="9"/>
  <c r="AD3855" i="9"/>
  <c r="E115" i="39" a="1"/>
  <c r="G738" i="39" a="1"/>
  <c r="AD3251" i="9"/>
  <c r="D387" i="39" a="1"/>
  <c r="E90" i="39" a="1"/>
  <c r="AD1835" i="9"/>
  <c r="C848" i="39" a="1"/>
  <c r="I514" i="39" a="1"/>
  <c r="C5" i="39" a="1"/>
  <c r="H161" i="39" a="1"/>
  <c r="F985" i="39" a="1"/>
  <c r="C972" i="39" a="1"/>
  <c r="E431" i="39" a="1"/>
  <c r="D88" i="39" a="1"/>
  <c r="I741" i="39" a="1"/>
  <c r="G355" i="39" a="1"/>
  <c r="I1001" i="39" a="1"/>
  <c r="G578" i="39" a="1"/>
  <c r="C553" i="39" a="1"/>
  <c r="AD759" i="9"/>
  <c r="F986" i="39" a="1"/>
  <c r="AD1787" i="9"/>
  <c r="AD4200" i="9"/>
  <c r="G967" i="39" a="1"/>
  <c r="AD888" i="9"/>
  <c r="C613" i="39" a="1"/>
  <c r="E117" i="39" a="1"/>
  <c r="E51" i="39" a="1"/>
  <c r="AD4283" i="9"/>
  <c r="I633" i="39" a="1"/>
  <c r="F502" i="39" a="1"/>
  <c r="D475" i="39" a="1"/>
  <c r="F532" i="39" a="1"/>
  <c r="AD1523" i="9"/>
  <c r="G518" i="39" a="1"/>
  <c r="C556" i="39" a="1"/>
  <c r="D215" i="39" a="1"/>
  <c r="AD2054" i="9"/>
  <c r="AD62" i="9"/>
  <c r="E857" i="39" a="1"/>
  <c r="G412" i="39" a="1"/>
  <c r="AD3986" i="9"/>
  <c r="AD1439" i="9"/>
  <c r="C411" i="39" a="1"/>
  <c r="D86" i="39" a="1"/>
  <c r="G9" i="39" a="1"/>
  <c r="I643" i="39" a="1"/>
  <c r="H197" i="39" a="1"/>
  <c r="D808" i="39" a="1"/>
  <c r="AD3185" i="9"/>
  <c r="I33" i="39" a="1"/>
  <c r="AD614" i="9"/>
  <c r="C284" i="39" a="1"/>
  <c r="H127" i="39" a="1"/>
  <c r="E6" i="39" a="1"/>
  <c r="D461" i="39" a="1"/>
  <c r="I154" i="39" a="1"/>
  <c r="AD103" i="9"/>
  <c r="AD4424" i="9"/>
  <c r="D218" i="39" a="1"/>
  <c r="E999" i="39" a="1"/>
  <c r="AD1800" i="9"/>
  <c r="H304" i="39" a="1"/>
  <c r="C169" i="39" a="1"/>
  <c r="I707" i="39" a="1"/>
  <c r="AD1988" i="9"/>
  <c r="H67" i="39" a="1"/>
  <c r="D427" i="39" a="1"/>
  <c r="G20" i="39" a="1"/>
  <c r="AD3520" i="9"/>
  <c r="E461" i="39" a="1"/>
  <c r="D999" i="39" a="1"/>
  <c r="D470" i="39" a="1"/>
  <c r="AD3157" i="9"/>
  <c r="I875" i="39" a="1"/>
  <c r="G352" i="39" a="1"/>
  <c r="F327" i="39" a="1"/>
  <c r="AD135" i="9"/>
  <c r="AD544" i="9"/>
  <c r="F628" i="39" a="1"/>
  <c r="H652" i="39" a="1"/>
  <c r="AD1399" i="9"/>
  <c r="AD246" i="9"/>
  <c r="AD384" i="9"/>
  <c r="AD2268" i="9"/>
  <c r="G714" i="39" a="1"/>
  <c r="H542" i="39" a="1"/>
  <c r="G187" i="39" a="1"/>
  <c r="G341" i="39" a="1"/>
  <c r="AD2602" i="9"/>
  <c r="AD3931" i="9"/>
  <c r="F430" i="39" a="1"/>
  <c r="F310" i="39" a="1"/>
  <c r="AD441" i="9"/>
  <c r="D663" i="39" a="1"/>
  <c r="I123" i="39" a="1"/>
  <c r="G858" i="39" a="1"/>
  <c r="C212" i="39" a="1"/>
  <c r="AD840" i="9"/>
  <c r="H73" i="39" a="1"/>
  <c r="C875" i="39" a="1"/>
  <c r="F619" i="39" a="1"/>
  <c r="G565" i="39" a="1"/>
  <c r="I275" i="39" a="1"/>
  <c r="G11" i="39" a="1"/>
  <c r="C612" i="39" a="1"/>
  <c r="F198" i="39" a="1"/>
  <c r="F222" i="39" a="1"/>
  <c r="G174" i="39" a="1"/>
  <c r="I419" i="39" a="1"/>
  <c r="C250" i="39" a="1"/>
  <c r="F220" i="39" a="1"/>
  <c r="E487" i="39" a="1"/>
  <c r="AD1068" i="9"/>
  <c r="I41" i="39" a="1"/>
  <c r="C54" i="39" a="1"/>
  <c r="D29" i="39" a="1"/>
  <c r="F245" i="39" a="1"/>
  <c r="E801" i="39" a="1"/>
  <c r="C320" i="39" a="1"/>
  <c r="D145" i="39" a="1"/>
  <c r="F147" i="39" a="1"/>
  <c r="E744" i="39" a="1"/>
  <c r="H900" i="39" a="1"/>
  <c r="AD1283" i="9"/>
  <c r="I700" i="39" a="1"/>
  <c r="I1013" i="39" a="1"/>
  <c r="AD780" i="9"/>
  <c r="F729" i="39" a="1"/>
  <c r="E150" i="39" a="1"/>
  <c r="G239" i="39" a="1"/>
  <c r="E255" i="39" a="1"/>
  <c r="C352" i="39" a="1"/>
  <c r="G439" i="39" a="1"/>
  <c r="H872" i="39" a="1"/>
  <c r="C801" i="39" a="1"/>
  <c r="G395" i="39" a="1"/>
  <c r="I333" i="39" a="1"/>
  <c r="AD2007" i="9"/>
  <c r="AD3610" i="9"/>
  <c r="D93" i="39" a="1"/>
  <c r="F958" i="39" a="1"/>
  <c r="H325" i="39" a="1"/>
  <c r="AD1411" i="9"/>
  <c r="AD4288" i="9"/>
  <c r="AD373" i="9"/>
  <c r="D85" i="39" a="1"/>
  <c r="E742" i="39" a="1"/>
  <c r="AD967" i="9"/>
  <c r="F464" i="39" a="1"/>
  <c r="F168" i="39" a="1"/>
  <c r="I833" i="39" a="1"/>
  <c r="I937" i="39" a="1"/>
  <c r="F742" i="39" a="1"/>
  <c r="AD2895" i="9"/>
  <c r="AD388" i="9"/>
  <c r="I961" i="39" a="1"/>
  <c r="D588" i="39" a="1"/>
  <c r="H66" i="39" a="1"/>
  <c r="G531" i="39" a="1"/>
  <c r="F383" i="39" a="1"/>
  <c r="G295" i="39" a="1"/>
  <c r="F479" i="39" a="1"/>
  <c r="C745" i="39" a="1"/>
  <c r="C696" i="39" a="1"/>
  <c r="AD2833" i="9"/>
  <c r="AD1364" i="9"/>
  <c r="D634" i="39" a="1"/>
  <c r="AD1669" i="9"/>
  <c r="D886" i="39" a="1"/>
  <c r="AD1882" i="9"/>
  <c r="D300" i="39" a="1"/>
  <c r="H644" i="39" a="1"/>
  <c r="AD3767" i="9"/>
  <c r="H318" i="39" a="1"/>
  <c r="AD4339" i="9"/>
  <c r="F157" i="39" a="1"/>
  <c r="F877" i="39" a="1"/>
  <c r="D510" i="39" a="1"/>
  <c r="H380" i="39" a="1"/>
  <c r="E483" i="39" a="1"/>
  <c r="H310" i="39" a="1"/>
  <c r="D208" i="39" a="1"/>
  <c r="G350" i="39" a="1"/>
  <c r="H155" i="39" a="1"/>
  <c r="I1020" i="39" a="1"/>
  <c r="F531" i="39" a="1"/>
  <c r="C699" i="39" a="1"/>
  <c r="E970" i="39" a="1"/>
  <c r="E632" i="39" a="1"/>
  <c r="AD4302" i="9"/>
  <c r="C6" i="39" a="1"/>
  <c r="G497" i="39" a="1"/>
  <c r="C996" i="39" a="1"/>
  <c r="I101" i="39" a="1"/>
  <c r="F212" i="39" a="1"/>
  <c r="D576" i="39" a="1"/>
  <c r="C780" i="39" a="1"/>
  <c r="AD2305" i="9"/>
  <c r="I138" i="39" a="1"/>
  <c r="F902" i="39" a="1"/>
  <c r="I845" i="39" a="1"/>
  <c r="D362" i="39" a="1"/>
  <c r="B104" i="12"/>
  <c r="E264" i="39" a="1"/>
  <c r="E548" i="39" a="1"/>
  <c r="E454" i="39" a="1"/>
  <c r="C809" i="39" a="1"/>
  <c r="AD160" i="9"/>
  <c r="AD3575" i="9"/>
  <c r="F19" i="39" a="1"/>
  <c r="H316" i="39" a="1"/>
  <c r="D847" i="39" a="1"/>
  <c r="AD1511" i="9"/>
  <c r="E312" i="39" a="1"/>
  <c r="AD3905" i="9"/>
  <c r="D128" i="39" a="1"/>
  <c r="H1019" i="39" a="1"/>
  <c r="G957" i="39" a="1"/>
  <c r="C83" i="39" a="1"/>
  <c r="C232" i="39" a="1"/>
  <c r="AD1490" i="9"/>
  <c r="C671" i="39" a="1"/>
  <c r="E521" i="39" a="1"/>
  <c r="D317" i="39" a="1"/>
  <c r="E332" i="39" a="1"/>
  <c r="E714" i="39" a="1"/>
  <c r="AD1632" i="9"/>
  <c r="F665" i="39" a="1"/>
  <c r="G754" i="39" a="1"/>
  <c r="AD2377" i="9"/>
  <c r="E46" i="39" a="1"/>
  <c r="H616" i="39" a="1"/>
  <c r="E315" i="39" a="1"/>
  <c r="H1004" i="39" a="1"/>
  <c r="G1015" i="39" a="1"/>
  <c r="AD1528" i="9"/>
  <c r="H506" i="39" a="1"/>
  <c r="H74" i="39" a="1"/>
  <c r="D538" i="39" a="1"/>
  <c r="G539" i="39" a="1"/>
  <c r="G852" i="39" a="1"/>
  <c r="D494" i="39" a="1"/>
  <c r="D207" i="39" a="1"/>
  <c r="I496" i="39" a="1"/>
  <c r="B156" i="12"/>
  <c r="AD1786" i="9"/>
  <c r="G391" i="39" a="1"/>
  <c r="D584" i="39" a="1"/>
  <c r="I108" i="39" a="1"/>
  <c r="AD2876" i="9"/>
  <c r="AD1597" i="9"/>
  <c r="AD618" i="9"/>
  <c r="H330" i="39" a="1"/>
  <c r="AD2667" i="9"/>
  <c r="E490" i="39" a="1"/>
  <c r="AD360" i="9"/>
  <c r="D638" i="39" a="1"/>
  <c r="H599" i="39" a="1"/>
  <c r="AD3528" i="9"/>
  <c r="D966" i="39" a="1"/>
  <c r="I43" i="39" a="1"/>
  <c r="F652" i="39" a="1"/>
  <c r="AD1099" i="9"/>
  <c r="AD1657" i="9"/>
  <c r="E311" i="39" a="1"/>
  <c r="H70" i="39" a="1"/>
  <c r="E161" i="39" a="1"/>
  <c r="AD4181" i="9"/>
  <c r="AD2630" i="9"/>
  <c r="H673" i="39" a="1"/>
  <c r="E531" i="39" a="1"/>
  <c r="F499" i="39" a="1"/>
  <c r="H799" i="39" a="1"/>
  <c r="G493" i="39" a="1"/>
  <c r="D525" i="39" a="1"/>
  <c r="E316" i="39" a="1"/>
  <c r="E210" i="39" a="1"/>
  <c r="D464" i="39" a="1"/>
  <c r="AD2004" i="9"/>
  <c r="H788" i="39" a="1"/>
  <c r="C935" i="39" a="1"/>
  <c r="E374" i="39" a="1"/>
  <c r="F17" i="39" a="1"/>
  <c r="E224" i="39" a="1"/>
  <c r="H737" i="39" a="1"/>
  <c r="AD369" i="9"/>
  <c r="D97" i="39" a="1"/>
  <c r="D546" i="39" a="1"/>
  <c r="G46" i="39" a="1"/>
  <c r="I883" i="39" a="1"/>
  <c r="D315" i="39" a="1"/>
  <c r="E469" i="39" a="1"/>
  <c r="AD3599" i="9"/>
  <c r="F204" i="39" a="1"/>
  <c r="AD3827" i="9"/>
  <c r="H515" i="39" a="1"/>
  <c r="AD3626" i="9"/>
  <c r="D965" i="39" a="1"/>
  <c r="AD894" i="9"/>
  <c r="E462" i="39" a="1"/>
  <c r="F818" i="39" a="1"/>
  <c r="AD3557" i="9"/>
  <c r="H871" i="39" a="1"/>
  <c r="E323" i="39" a="1"/>
  <c r="E610" i="39" a="1"/>
  <c r="D107" i="39" a="1"/>
  <c r="C902" i="39" a="1"/>
  <c r="I204" i="39" a="1"/>
  <c r="F224" i="39" a="1"/>
  <c r="AD2455" i="9"/>
  <c r="I245" i="39" a="1"/>
  <c r="AD3379" i="9"/>
  <c r="AD895" i="9"/>
  <c r="F836" i="39" a="1"/>
  <c r="AD1036" i="9"/>
  <c r="AD324" i="9"/>
  <c r="I12" i="39" a="1"/>
  <c r="G291" i="39" a="1"/>
  <c r="G542" i="39" a="1"/>
  <c r="H49" i="39" a="1"/>
  <c r="AD3971" i="9"/>
  <c r="G477" i="39" a="1"/>
  <c r="C921" i="39" a="1"/>
  <c r="C129" i="39" a="1"/>
  <c r="H92" i="39" a="1"/>
  <c r="F627" i="39" a="1"/>
  <c r="AD2448" i="9"/>
  <c r="D715" i="39" a="1"/>
  <c r="D295" i="39" a="1"/>
  <c r="F745" i="39" a="1"/>
  <c r="E246" i="39" a="1"/>
  <c r="H413" i="39" a="1"/>
  <c r="I919" i="39" a="1"/>
  <c r="F322" i="39" a="1"/>
  <c r="AD3008" i="9"/>
  <c r="I54" i="39" a="1"/>
  <c r="D200" i="39" a="1"/>
  <c r="I468" i="39" a="1"/>
  <c r="E838" i="39" a="1"/>
  <c r="E719" i="39" a="1"/>
  <c r="C254" i="39" a="1"/>
  <c r="AD3989" i="9"/>
  <c r="G843" i="39" a="1"/>
  <c r="G710" i="39" a="1"/>
  <c r="F228" i="39" a="1"/>
  <c r="AD4048" i="9"/>
  <c r="AD2945" i="9"/>
  <c r="E885" i="39" a="1"/>
  <c r="H559" i="39" a="1"/>
  <c r="C905" i="39" a="1"/>
  <c r="I344" i="39" a="1"/>
  <c r="C15" i="39" a="1"/>
  <c r="G808" i="39" a="1"/>
  <c r="I963" i="39" a="1"/>
  <c r="AD2015" i="9"/>
  <c r="B78" i="12"/>
  <c r="F481" i="39" a="1"/>
  <c r="AD1840" i="9"/>
  <c r="F318" i="39" a="1"/>
  <c r="H1" i="39" a="1"/>
  <c r="D384" i="39" a="1"/>
  <c r="E883" i="39" a="1"/>
  <c r="F276" i="39" a="1"/>
  <c r="F357" i="39" a="1"/>
  <c r="I666" i="39" a="1"/>
  <c r="B31" i="12"/>
  <c r="C754" i="39" a="1"/>
  <c r="E180" i="39" a="1"/>
  <c r="AD783" i="9"/>
  <c r="AD3755" i="9"/>
  <c r="H666" i="39" a="1"/>
  <c r="E908" i="39" a="1"/>
  <c r="H160" i="39" a="1"/>
  <c r="C221" i="39" a="1"/>
  <c r="G47" i="39" a="1"/>
  <c r="B146" i="12"/>
  <c r="I440" i="39" a="1"/>
  <c r="C620" i="39" a="1"/>
  <c r="C735" i="39" a="1"/>
  <c r="D160" i="39" a="1"/>
  <c r="AD3306" i="9"/>
  <c r="AD1616" i="9"/>
  <c r="I315" i="39" a="1"/>
  <c r="H174" i="39" a="1"/>
  <c r="F416" i="39" a="1"/>
  <c r="E480" i="39" a="1"/>
  <c r="H849" i="39" a="1"/>
  <c r="AD1139" i="9"/>
  <c r="E405" i="39" a="1"/>
  <c r="I109" i="39" a="1"/>
  <c r="F439" i="39" a="1"/>
  <c r="AD4115" i="9"/>
  <c r="G928" i="39" a="1"/>
  <c r="I56" i="39" a="1"/>
  <c r="D403" i="39" a="1"/>
  <c r="F129" i="39" a="1"/>
  <c r="E17" i="39" a="1"/>
  <c r="I489" i="39" a="1"/>
  <c r="H6" i="39" a="1"/>
  <c r="C125" i="39" a="1"/>
  <c r="H340" i="39" a="1"/>
  <c r="F377" i="39" a="1"/>
  <c r="D725" i="39" a="1"/>
  <c r="G523" i="39" a="1"/>
  <c r="F119" i="39" a="1"/>
  <c r="G329" i="39" a="1"/>
  <c r="F512" i="39" a="1"/>
  <c r="G472" i="39" a="1"/>
  <c r="E201" i="39" a="1"/>
  <c r="AD277" i="9"/>
  <c r="F647" i="39" a="1"/>
  <c r="AD1707" i="9"/>
  <c r="E558" i="39" a="1"/>
  <c r="F8" i="39" a="1"/>
  <c r="AD4217" i="9"/>
  <c r="F165" i="39" a="1"/>
  <c r="E591" i="39" a="1"/>
  <c r="D633" i="39" a="1"/>
  <c r="I597" i="39" a="1"/>
  <c r="F452" i="39" a="1"/>
  <c r="H120" i="39" a="1"/>
  <c r="AD2954" i="9"/>
  <c r="I728" i="39" a="1"/>
  <c r="C40" i="39" a="1"/>
  <c r="AD4169" i="9"/>
  <c r="G985" i="39" a="1"/>
  <c r="D921" i="39" a="1"/>
  <c r="G464" i="39" a="1"/>
  <c r="D406" i="39" a="1"/>
  <c r="G1002" i="39" a="1"/>
  <c r="G372" i="39" a="1"/>
  <c r="D12" i="39" a="1"/>
  <c r="H876" i="39" a="1"/>
  <c r="F415" i="39" a="1"/>
  <c r="D267" i="39" a="1"/>
  <c r="F57" i="39" a="1"/>
  <c r="AD2474" i="9"/>
  <c r="E330" i="39" a="1"/>
  <c r="D81" i="39" a="1"/>
  <c r="I598" i="39" a="1"/>
  <c r="H885" i="39" a="1"/>
  <c r="E470" i="39" a="1"/>
  <c r="H966" i="39" a="1"/>
  <c r="I889" i="39" a="1"/>
  <c r="C214" i="39" a="1"/>
  <c r="E443" i="39" a="1"/>
  <c r="AD766" i="9"/>
  <c r="E446" i="39" a="1"/>
  <c r="E499" i="39" a="1"/>
  <c r="E839" i="39" a="1"/>
  <c r="AD3046" i="9"/>
  <c r="I596" i="39" a="1"/>
  <c r="I490" i="39" a="1"/>
  <c r="G70" i="39" a="1"/>
  <c r="AD88" i="9"/>
  <c r="I167" i="39" a="1"/>
  <c r="G709" i="39" a="1"/>
  <c r="F27" i="39" a="1"/>
  <c r="I640" i="39" a="1"/>
  <c r="D582" i="39" a="1"/>
  <c r="D771" i="39" a="1"/>
  <c r="AD4035" i="9"/>
  <c r="G963" i="39" a="1"/>
  <c r="F470" i="39" a="1"/>
  <c r="C842" i="39" a="1"/>
  <c r="C709" i="39" a="1"/>
  <c r="E414" i="39" a="1"/>
  <c r="I352" i="39" a="1"/>
  <c r="I827" i="39" a="1"/>
  <c r="E897" i="39" a="1"/>
  <c r="G292" i="39" a="1"/>
  <c r="I64" i="39" a="1"/>
  <c r="C495" i="39" a="1"/>
  <c r="D501" i="39" a="1"/>
  <c r="F682" i="39" a="1"/>
  <c r="I638" i="39" a="1"/>
  <c r="AD75" i="9"/>
  <c r="F586" i="39" a="1"/>
  <c r="I282" i="39" a="1"/>
  <c r="AD1706" i="9"/>
  <c r="C376" i="39" a="1"/>
  <c r="AD182" i="9"/>
  <c r="I680" i="39" a="1"/>
  <c r="E741" i="39" a="1"/>
  <c r="H133" i="39" a="1"/>
  <c r="D105" i="39" a="1"/>
  <c r="E603" i="39" a="1"/>
  <c r="D618" i="39" a="1"/>
  <c r="F47" i="39" a="1"/>
  <c r="C658" i="39" a="1"/>
  <c r="F701" i="39" a="1"/>
  <c r="AD1495" i="9"/>
  <c r="D434" i="39" a="1"/>
  <c r="AD3304" i="9"/>
  <c r="G241" i="39" a="1"/>
  <c r="F243" i="39" a="1"/>
  <c r="G605" i="39" a="1"/>
  <c r="AD3104" i="9"/>
  <c r="G106" i="39" a="1"/>
  <c r="AD2712" i="9"/>
  <c r="F536" i="39" a="1"/>
  <c r="AD2211" i="9"/>
  <c r="G792" i="39" a="1"/>
  <c r="I566" i="39" a="1"/>
  <c r="E847" i="39" a="1"/>
  <c r="D743" i="39" a="1"/>
  <c r="F883" i="39" a="1"/>
  <c r="C849" i="39" a="1"/>
  <c r="E818" i="39" a="1"/>
  <c r="D846" i="39" a="1"/>
  <c r="D441" i="39" a="1"/>
  <c r="H630" i="39" a="1"/>
  <c r="C1019" i="39" a="1"/>
  <c r="AD3114" i="9"/>
  <c r="D630" i="39" a="1"/>
  <c r="E859" i="39" a="1"/>
  <c r="I376" i="39" a="1"/>
  <c r="C19" i="39" a="1"/>
  <c r="G595" i="39" a="1"/>
  <c r="H963" i="39" a="1"/>
  <c r="F948" i="39" a="1"/>
  <c r="I702" i="39" a="1"/>
  <c r="D304" i="39" a="1"/>
  <c r="I721" i="39" a="1"/>
  <c r="AD340" i="9"/>
  <c r="I931" i="39" a="1"/>
  <c r="E572" i="39" a="1"/>
  <c r="G934" i="39" a="1"/>
  <c r="F305" i="39" a="1"/>
  <c r="G1021" i="39" a="1"/>
  <c r="D534" i="39" a="1"/>
  <c r="I49" i="39" a="1"/>
  <c r="H177" i="39" a="1"/>
  <c r="E324" i="39" a="1"/>
  <c r="E29" i="39" a="1"/>
  <c r="AD968" i="9"/>
  <c r="F333" i="39" a="1"/>
  <c r="B6" i="12"/>
  <c r="E784" i="39" a="1"/>
  <c r="C415" i="39" a="1"/>
  <c r="F1020" i="39" a="1"/>
  <c r="C666" i="39" a="1"/>
  <c r="I47" i="39" a="1"/>
  <c r="I359" i="39" a="1"/>
  <c r="AD4046" i="9"/>
  <c r="H543" i="39" a="1"/>
  <c r="E447" i="39" a="1"/>
  <c r="AD91" i="9"/>
  <c r="C717" i="39" a="1"/>
  <c r="AD2387" i="9"/>
  <c r="I205" i="39" a="1"/>
  <c r="AD4270" i="9"/>
  <c r="F840" i="39" a="1"/>
  <c r="G607" i="39" a="1"/>
  <c r="D628" i="39" a="1"/>
  <c r="D866" i="39" a="1"/>
  <c r="C372" i="39" a="1"/>
  <c r="E912" i="39" a="1"/>
  <c r="D692" i="39" a="1"/>
  <c r="AD142" i="9"/>
  <c r="AD128" i="9"/>
  <c r="H11" i="39" a="1"/>
  <c r="E377" i="39" a="1"/>
  <c r="AD2117" i="9"/>
  <c r="G994" i="39" a="1"/>
  <c r="F132" i="39" a="1"/>
  <c r="AD2666" i="9"/>
  <c r="D452" i="39" a="1"/>
  <c r="AD1762" i="9"/>
  <c r="I169" i="39" a="1"/>
  <c r="AD3542" i="9"/>
  <c r="AD4131" i="9"/>
  <c r="D1007" i="39" a="1"/>
  <c r="AD4096" i="9"/>
  <c r="D147" i="39" a="1"/>
  <c r="I24" i="39" a="1"/>
  <c r="G18" i="39" a="1"/>
  <c r="I365" i="39" a="1"/>
  <c r="AD164" i="9"/>
  <c r="H481" i="39" a="1"/>
  <c r="E633" i="39" a="1"/>
  <c r="D84" i="39" a="1"/>
  <c r="B160" i="12"/>
  <c r="H920" i="39" a="1"/>
  <c r="G375" i="39" a="1"/>
  <c r="F898" i="39" a="1"/>
  <c r="H750" i="39" a="1"/>
  <c r="H500" i="39" a="1"/>
  <c r="D990" i="39" a="1"/>
  <c r="AD48" i="9"/>
  <c r="F93" i="39" a="1"/>
  <c r="AD2961" i="9"/>
  <c r="E206" i="39" a="1"/>
  <c r="AD4319" i="9"/>
  <c r="AD2766" i="9"/>
  <c r="F677" i="39" a="1"/>
  <c r="D514" i="39" a="1"/>
  <c r="F637" i="39" a="1"/>
  <c r="E158" i="39" a="1"/>
  <c r="AD2331" i="9"/>
  <c r="AD2705" i="9"/>
  <c r="B113" i="12"/>
  <c r="D129" i="39" a="1"/>
  <c r="C938" i="39" a="1"/>
  <c r="H286" i="39" a="1"/>
  <c r="E371" i="39" a="1"/>
  <c r="F205" i="39" a="1"/>
  <c r="G281" i="39" a="1"/>
  <c r="H456" i="39" a="1"/>
  <c r="AD1101" i="9"/>
  <c r="AD1077" i="9"/>
  <c r="E265" i="39" a="1"/>
  <c r="D519" i="39" a="1"/>
  <c r="AD473" i="9"/>
  <c r="H718" i="39" a="1"/>
  <c r="AD3084" i="9"/>
  <c r="AD2812" i="9"/>
  <c r="D299" i="39" a="1"/>
  <c r="AD1412" i="9"/>
  <c r="AD4015" i="9"/>
  <c r="AD1763" i="9"/>
  <c r="E86" i="39" a="1"/>
  <c r="I545" i="39" a="1"/>
  <c r="C147" i="39" a="1"/>
  <c r="AD795" i="9"/>
  <c r="G1018" i="39" a="1"/>
  <c r="AD3627" i="9"/>
  <c r="E214" i="39" a="1"/>
  <c r="H305" i="39" a="1"/>
  <c r="I287" i="39" a="1"/>
  <c r="E111" i="39" a="1"/>
  <c r="E695" i="39" a="1"/>
  <c r="AD268" i="9"/>
  <c r="C14" i="39" a="1"/>
  <c r="AD4091" i="9"/>
  <c r="H972" i="39" a="1"/>
  <c r="AD4455" i="9"/>
  <c r="E561" i="39" a="1"/>
  <c r="I618" i="39" a="1"/>
  <c r="C323" i="39" a="1"/>
  <c r="H55" i="39" a="1"/>
  <c r="G8" i="39" a="1"/>
  <c r="I73" i="39" a="1"/>
  <c r="AD3640" i="9"/>
  <c r="AD3452" i="9"/>
  <c r="AD1406" i="9"/>
  <c r="G807" i="39" a="1"/>
  <c r="AD3127" i="9"/>
  <c r="G834" i="39" a="1"/>
  <c r="F650" i="39" a="1"/>
  <c r="E25" i="39" a="1"/>
  <c r="E568" i="39" a="1"/>
  <c r="AD3534" i="9"/>
  <c r="H511" i="39" a="1"/>
  <c r="F612" i="39" a="1"/>
  <c r="F107" i="39" a="1"/>
  <c r="F167" i="39" a="1"/>
  <c r="G400" i="39" a="1"/>
  <c r="H281" i="39" a="1"/>
  <c r="E979" i="39" a="1"/>
  <c r="E208" i="39" a="1"/>
  <c r="F772" i="39" a="1"/>
  <c r="AD1402" i="9"/>
  <c r="D1001" i="39" a="1"/>
  <c r="B98" i="12"/>
  <c r="D899" i="39" a="1"/>
  <c r="AD132" i="9"/>
  <c r="AD2293" i="9"/>
  <c r="H558" i="39" a="1"/>
  <c r="AD1805" i="9"/>
  <c r="F424" i="39" a="1"/>
  <c r="I600" i="39" a="1"/>
  <c r="C237" i="39" a="1"/>
  <c r="B93" i="12"/>
  <c r="G821" i="39" a="1"/>
  <c r="D245" i="39" a="1"/>
  <c r="I550" i="39" a="1"/>
  <c r="AD4382" i="9"/>
  <c r="F566" i="39" a="1"/>
  <c r="AD3218" i="9"/>
  <c r="AD1410" i="9"/>
  <c r="D187" i="39" a="1"/>
  <c r="D373" i="39" a="1"/>
  <c r="AD2981" i="9"/>
  <c r="H210" i="39" a="1"/>
  <c r="C889" i="39" a="1"/>
  <c r="C708" i="39" a="1"/>
  <c r="D751" i="39" a="1"/>
  <c r="I672" i="39" a="1"/>
  <c r="AD2738" i="9"/>
  <c r="D796" i="39" a="1"/>
  <c r="E251" i="39" a="1"/>
  <c r="AD4411" i="9"/>
  <c r="H57" i="39" a="1"/>
  <c r="AD564" i="9"/>
  <c r="E440" i="39" a="1"/>
  <c r="AD2212" i="9"/>
  <c r="D453" i="39" a="1"/>
  <c r="F657" i="39" a="1"/>
  <c r="D326" i="39" a="1"/>
  <c r="D396" i="39" a="1"/>
  <c r="E207" i="39" a="1"/>
  <c r="G828" i="39" a="1"/>
  <c r="I15" i="39" a="1"/>
  <c r="AD4360" i="9"/>
  <c r="I217" i="39" a="1"/>
  <c r="AD1398" i="9"/>
  <c r="G251" i="39" a="1"/>
  <c r="F829" i="39" a="1"/>
  <c r="F116" i="39" a="1"/>
  <c r="G885" i="39" a="1"/>
  <c r="I968" i="39" a="1"/>
  <c r="AD717" i="9"/>
  <c r="H1013" i="39" a="1"/>
  <c r="I40" i="39" a="1"/>
  <c r="C335" i="39" a="1"/>
  <c r="F582" i="39" a="1"/>
  <c r="B154" i="12"/>
  <c r="F20" i="39" a="1"/>
  <c r="H714" i="39" a="1"/>
  <c r="AD3371" i="9"/>
  <c r="B13" i="12"/>
  <c r="H46" i="39" a="1"/>
  <c r="AD3559" i="9"/>
  <c r="AD675" i="9"/>
  <c r="D752" i="39" a="1"/>
  <c r="G248" i="39" a="1"/>
  <c r="H540" i="39" a="1"/>
  <c r="E428" i="39" a="1"/>
  <c r="H646" i="39" a="1"/>
  <c r="AD3327" i="9"/>
  <c r="G377" i="39" a="1"/>
  <c r="H803" i="39" a="1"/>
  <c r="G2" i="39" a="1"/>
  <c r="D1024" i="39" a="1"/>
  <c r="E629" i="39" a="1"/>
  <c r="D882" i="39" a="1"/>
  <c r="H232" i="39" a="1"/>
  <c r="F872" i="39" a="1"/>
  <c r="H662" i="39" a="1"/>
  <c r="H157" i="39" a="1"/>
  <c r="G137" i="39" a="1"/>
  <c r="AD3921" i="9"/>
  <c r="AD2843" i="9"/>
  <c r="H798" i="39" a="1"/>
  <c r="D45" i="39" a="1"/>
  <c r="E404" i="39" a="1"/>
  <c r="E166" i="39" a="1"/>
  <c r="E636" i="39" a="1"/>
  <c r="E823" i="39" a="1"/>
  <c r="AD3015" i="9"/>
  <c r="C1" i="39" a="1"/>
  <c r="G961" i="39" a="1"/>
  <c r="AD4274" i="9"/>
  <c r="AD3972" i="9"/>
  <c r="E143" i="39" a="1"/>
  <c r="C151" i="39" a="1"/>
  <c r="G648" i="39" a="1"/>
  <c r="AD2223" i="9"/>
  <c r="G657" i="39" a="1"/>
  <c r="D662" i="39" a="1"/>
  <c r="AD70" i="9"/>
  <c r="I1005" i="39" a="1"/>
  <c r="F263" i="39" a="1"/>
  <c r="F549" i="39" a="1"/>
  <c r="AD3496" i="9"/>
  <c r="C770" i="39" a="1"/>
  <c r="AD777" i="9"/>
  <c r="E273" i="39" a="1"/>
  <c r="I407" i="39" a="1"/>
  <c r="H294" i="39" a="1"/>
  <c r="I311" i="39" a="1"/>
  <c r="I554" i="39" a="1"/>
  <c r="AD1940" i="9"/>
  <c r="C63" i="39" a="1"/>
  <c r="AD2181" i="9"/>
  <c r="I374" i="39" a="1"/>
  <c r="I106" i="39" a="1"/>
  <c r="C507" i="39" a="1"/>
  <c r="C110" i="39" a="1"/>
  <c r="E921" i="39" a="1"/>
  <c r="F407" i="39" a="1"/>
  <c r="D258" i="39" a="1"/>
  <c r="E881" i="39" a="1"/>
  <c r="AD3126" i="9"/>
  <c r="D1022" i="39" a="1"/>
  <c r="I93" i="39" a="1"/>
  <c r="H749" i="39" a="1"/>
  <c r="I151" i="39" a="1"/>
  <c r="F241" i="39" a="1"/>
  <c r="AD1131" i="9"/>
  <c r="D313" i="39" a="1"/>
  <c r="E288" i="39" a="1"/>
  <c r="G69" i="39" a="1"/>
  <c r="E2" i="39" a="1"/>
  <c r="I551" i="39" a="1"/>
  <c r="H965" i="39" a="1"/>
  <c r="AD1247" i="9"/>
  <c r="AD2663" i="9"/>
  <c r="H883" i="39" a="1"/>
  <c r="I42" i="39" a="1"/>
  <c r="I617" i="39" a="1"/>
  <c r="AD2221" i="9"/>
  <c r="AD2454" i="9"/>
  <c r="F368" i="39" a="1"/>
  <c r="G778" i="39" a="1"/>
  <c r="AD4037" i="9"/>
  <c r="AD2219" i="9"/>
  <c r="AD9" i="9"/>
  <c r="C197" i="39" a="1"/>
  <c r="G760" i="39" a="1"/>
  <c r="I706" i="39" a="1"/>
  <c r="AD2265" i="9"/>
  <c r="H694" i="39" a="1"/>
  <c r="AD691" i="9"/>
  <c r="C783" i="39" a="1"/>
  <c r="AD533" i="9"/>
  <c r="G302" i="39" a="1"/>
  <c r="I628" i="39" a="1"/>
  <c r="E38" i="39" a="1"/>
  <c r="D67" i="39" a="1"/>
  <c r="G569" i="39" a="1"/>
  <c r="G303" i="39" a="1"/>
  <c r="H265" i="39" a="1"/>
  <c r="H379" i="39" a="1"/>
  <c r="D704" i="39" a="1"/>
  <c r="D37" i="39" a="1"/>
  <c r="I942" i="39" a="1"/>
  <c r="D710" i="39" a="1"/>
  <c r="AD50" i="9"/>
  <c r="AD1338" i="9"/>
  <c r="H433" i="39" a="1"/>
  <c r="I485" i="39" a="1"/>
  <c r="AD3928" i="9"/>
  <c r="E421" i="39" a="1"/>
  <c r="AD1995" i="9"/>
  <c r="C918" i="39" a="1"/>
  <c r="AD3768" i="9"/>
  <c r="D794" i="39" a="1"/>
  <c r="AD2482" i="9"/>
  <c r="D329" i="39" a="1"/>
  <c r="E654" i="39" a="1"/>
  <c r="E78" i="39" a="1"/>
  <c r="C626" i="39" a="1"/>
  <c r="AD1941" i="9"/>
  <c r="AD1725" i="9"/>
  <c r="AD3779" i="9"/>
  <c r="G442" i="39" a="1"/>
  <c r="H426" i="39" a="1"/>
  <c r="D219" i="39" a="1"/>
  <c r="F920" i="39" a="1"/>
  <c r="H1008" i="39" a="1"/>
  <c r="H563" i="39" a="1"/>
  <c r="D234" i="39" a="1"/>
  <c r="F404" i="39" a="1"/>
  <c r="G250" i="39" a="1"/>
  <c r="I237" i="39" a="1"/>
  <c r="D58" i="39" a="1"/>
  <c r="F364" i="39" a="1"/>
  <c r="F739" i="39" a="1"/>
  <c r="I292" i="39" a="1"/>
  <c r="E656" i="39" a="1"/>
  <c r="F704" i="39" a="1"/>
  <c r="E551" i="39" a="1"/>
  <c r="AD1522" i="9"/>
  <c r="AD1403" i="9"/>
  <c r="AD1209" i="9"/>
  <c r="I877" i="39" a="1"/>
  <c r="D511" i="39" a="1"/>
  <c r="AD229" i="9"/>
  <c r="AD3369" i="9"/>
  <c r="AD1728" i="9"/>
  <c r="AD3649" i="9"/>
  <c r="AD4495" i="9"/>
  <c r="H252" i="39" a="1"/>
  <c r="AD1275" i="9"/>
  <c r="H850" i="39" a="1"/>
  <c r="G230" i="39" a="1"/>
  <c r="AD3256" i="9"/>
  <c r="AD1015" i="9"/>
  <c r="G703" i="39" a="1"/>
  <c r="I936" i="39" a="1"/>
  <c r="F191" i="39" a="1"/>
  <c r="AD1509" i="9"/>
  <c r="H785" i="39" a="1"/>
  <c r="AD2394" i="9"/>
  <c r="E935" i="39" a="1"/>
  <c r="F684" i="39" a="1"/>
  <c r="H402" i="39" a="1"/>
  <c r="AD2355" i="9"/>
  <c r="I544" i="39" a="1"/>
  <c r="E37" i="39" a="1"/>
  <c r="AD1055" i="9"/>
  <c r="AD4325" i="9"/>
  <c r="C354" i="39" a="1"/>
  <c r="AD1336" i="9"/>
  <c r="F259" i="39" a="1"/>
  <c r="H902" i="39" a="1"/>
  <c r="I464" i="39" a="1"/>
  <c r="AD3949" i="9"/>
  <c r="D720" i="39" a="1"/>
  <c r="H273" i="39" a="1"/>
  <c r="G867" i="39" a="1"/>
  <c r="F837" i="39" a="1"/>
  <c r="H332" i="39" a="1"/>
  <c r="I502" i="39" a="1"/>
  <c r="D496" i="39" a="1"/>
  <c r="C586" i="39" a="1"/>
  <c r="AD1375" i="9"/>
  <c r="I6" i="39" a="1"/>
  <c r="G462" i="39" a="1"/>
  <c r="AD665" i="9"/>
  <c r="D984" i="39" a="1"/>
  <c r="G627" i="39" a="1"/>
  <c r="F78" i="39" a="1"/>
  <c r="E938" i="39" a="1"/>
  <c r="G1008" i="39" a="1"/>
  <c r="C146" i="39" a="1"/>
  <c r="AD421" i="9"/>
  <c r="E731" i="39" a="1"/>
  <c r="C676" i="39" a="1"/>
  <c r="H845" i="39" a="1"/>
  <c r="H825" i="39" a="1"/>
  <c r="AD2158" i="9"/>
  <c r="D228" i="39" a="1"/>
  <c r="AD3097" i="9"/>
  <c r="AD3757" i="9"/>
  <c r="E149" i="39" a="1"/>
  <c r="H467" i="39" a="1"/>
  <c r="E138" i="39" a="1"/>
  <c r="E373" i="39" a="1"/>
  <c r="D306" i="39" a="1"/>
  <c r="I7" i="39" a="1"/>
  <c r="AD3943" i="9"/>
  <c r="F579" i="39" a="1"/>
  <c r="AD2005" i="9"/>
  <c r="G855" i="39" a="1"/>
  <c r="AD3812" i="9"/>
  <c r="D108" i="39" a="1"/>
  <c r="AD1575" i="9"/>
  <c r="C615" i="39" a="1"/>
  <c r="AD637" i="9"/>
  <c r="D646" i="39" a="1"/>
  <c r="AD3515" i="9"/>
  <c r="D413" i="39" a="1"/>
  <c r="AD2278" i="9"/>
  <c r="AD2021" i="9"/>
  <c r="F337" i="39" a="1"/>
  <c r="AD33" i="9"/>
  <c r="E13" i="39" a="1"/>
  <c r="AD4465" i="9"/>
  <c r="I270" i="39" a="1"/>
  <c r="F290" i="39" a="1"/>
  <c r="C198" i="39" a="1"/>
  <c r="D505" i="39" a="1"/>
  <c r="D64" i="39" a="1"/>
  <c r="F850" i="39" a="1"/>
  <c r="D906" i="39" a="1"/>
  <c r="C1010" i="39" a="1"/>
  <c r="AD3319" i="9"/>
  <c r="E329" i="39" a="1"/>
  <c r="D194" i="39" a="1"/>
  <c r="E512" i="39" a="1"/>
  <c r="I783" i="39" a="1"/>
  <c r="F611" i="39" a="1"/>
  <c r="G346" i="39" a="1"/>
  <c r="H1024" i="39" a="1"/>
  <c r="G534" i="39" a="1"/>
  <c r="D83" i="39" a="1"/>
  <c r="C520" i="39" a="1"/>
  <c r="E398" i="39" a="1"/>
  <c r="AD2910" i="9"/>
  <c r="F50" i="39" a="1"/>
  <c r="AD1323" i="9"/>
  <c r="I467" i="39" a="1"/>
  <c r="H867" i="39" a="1"/>
  <c r="H1003" i="39" a="1"/>
  <c r="I778" i="39" a="1"/>
  <c r="AD3954" i="9"/>
  <c r="C637" i="39" a="1"/>
  <c r="AD3232" i="9"/>
  <c r="AD4225" i="9"/>
  <c r="H587" i="39" a="1"/>
  <c r="AD4298" i="9"/>
  <c r="C213" i="39" a="1"/>
  <c r="AD1955" i="9"/>
  <c r="D177" i="39" a="1"/>
  <c r="AD4499" i="9"/>
  <c r="I188" i="39" a="1"/>
  <c r="E690" i="39" a="1"/>
  <c r="G801" i="39" a="1"/>
  <c r="AD252" i="9"/>
  <c r="F908" i="39" a="1"/>
  <c r="AD4135" i="9"/>
  <c r="AD716" i="9"/>
  <c r="AD1726" i="9"/>
  <c r="AD1183" i="9"/>
  <c r="I4" i="39" a="1"/>
  <c r="E270" i="39" a="1"/>
  <c r="E185" i="39" a="1"/>
  <c r="AD2799" i="9"/>
  <c r="AD1107" i="9"/>
  <c r="AD1061" i="9"/>
  <c r="I860" i="39" a="1"/>
  <c r="F254" i="39" a="1"/>
  <c r="I175" i="39" a="1"/>
  <c r="D354" i="39" a="1"/>
  <c r="D830" i="39" a="1"/>
  <c r="H1012" i="39" a="1"/>
  <c r="E12" i="39" a="1"/>
  <c r="AD143" i="9"/>
  <c r="G6" i="39" a="1"/>
  <c r="AD3790" i="9"/>
  <c r="D312" i="39" a="1"/>
  <c r="AD4203" i="9"/>
  <c r="F87" i="39" a="1"/>
  <c r="AD3455" i="9"/>
  <c r="AD988" i="9"/>
  <c r="D268" i="39" a="1"/>
  <c r="F903" i="39" a="1"/>
  <c r="H859" i="39" a="1"/>
  <c r="E475" i="39" a="1"/>
  <c r="AD4479" i="9"/>
  <c r="AD1626" i="9"/>
  <c r="G388" i="39" a="1"/>
  <c r="E356" i="39" a="1"/>
  <c r="E159" i="39" a="1"/>
  <c r="B66" i="12"/>
  <c r="AD1121" i="9"/>
  <c r="B135" i="12"/>
  <c r="D183" i="39" a="1"/>
  <c r="E783" i="39" a="1"/>
  <c r="F743" i="39" a="1"/>
  <c r="C43" i="39" a="1"/>
  <c r="B96" i="12"/>
  <c r="AD1385" i="9"/>
  <c r="E721" i="39" a="1"/>
  <c r="G600" i="39" a="1"/>
  <c r="AD1488" i="9"/>
  <c r="AD3893" i="9"/>
  <c r="I11" i="39" a="1"/>
  <c r="AD4300" i="9"/>
  <c r="D269" i="39" a="1"/>
  <c r="D18" i="39" a="1"/>
  <c r="E437" i="39" a="1"/>
  <c r="C647" i="39" a="1"/>
  <c r="AD3924" i="9"/>
  <c r="E876" i="39" a="1"/>
  <c r="C927" i="39" a="1"/>
  <c r="E301" i="39" a="1"/>
  <c r="AD492" i="9"/>
  <c r="G449" i="39" a="1"/>
  <c r="G260" i="39" a="1"/>
  <c r="G446" i="39" a="1"/>
  <c r="AD2979" i="9"/>
  <c r="AD2677" i="9"/>
  <c r="E523" i="39" a="1"/>
  <c r="G601" i="39" a="1"/>
  <c r="AD3003" i="9"/>
  <c r="F907" i="39" a="1"/>
  <c r="AD3189" i="9"/>
  <c r="C206" i="39" a="1"/>
  <c r="B67" i="12"/>
  <c r="C700" i="39" a="1"/>
  <c r="G579" i="39" a="1"/>
  <c r="AD40" i="9"/>
  <c r="H839" i="39" a="1"/>
  <c r="I72" i="39" a="1"/>
  <c r="C540" i="39" a="1"/>
  <c r="I234" i="39" a="1"/>
  <c r="D310" i="39" a="1"/>
  <c r="D948" i="39" a="1"/>
  <c r="I991" i="39" a="1"/>
  <c r="AD1155" i="9"/>
  <c r="I317" i="39" a="1"/>
  <c r="G82" i="39" a="1"/>
  <c r="D449" i="39" a="1"/>
  <c r="G325" i="39" a="1"/>
  <c r="D397" i="39" a="1"/>
  <c r="AD3867" i="9"/>
  <c r="G134" i="39" a="1"/>
  <c r="AD3809" i="9"/>
  <c r="AD883" i="9"/>
  <c r="AD1074" i="9"/>
  <c r="H85" i="39" a="1"/>
  <c r="F646" i="39" a="1"/>
  <c r="AD2468" i="9"/>
  <c r="AD1602" i="9"/>
  <c r="G606" i="39" a="1"/>
  <c r="G77" i="39" a="1"/>
  <c r="AD2557" i="9"/>
  <c r="D754" i="39" a="1"/>
  <c r="H2" i="39" a="1"/>
  <c r="H610" i="39" a="1"/>
  <c r="G3" i="39" a="1"/>
  <c r="I1009" i="39" a="1"/>
  <c r="D242" i="39" a="1"/>
  <c r="D781" i="39" a="1"/>
  <c r="AD1663" i="9"/>
  <c r="C80" i="39" a="1"/>
  <c r="E476" i="39" a="1"/>
  <c r="H17" i="39" a="1"/>
  <c r="AD3531" i="9"/>
  <c r="C168" i="39" a="1"/>
  <c r="AD1647" i="9"/>
  <c r="E631" i="39" a="1"/>
  <c r="AD3682" i="9"/>
  <c r="I369" i="39" a="1"/>
  <c r="E254" i="39" a="1"/>
  <c r="F530" i="39" a="1"/>
  <c r="AD1427" i="9"/>
  <c r="AD4218" i="9"/>
  <c r="I409" i="39" a="1"/>
  <c r="E136" i="39" a="1"/>
  <c r="AD1594" i="9"/>
  <c r="AD1920" i="9"/>
  <c r="H179" i="39" a="1"/>
  <c r="AD1557" i="9"/>
  <c r="H406" i="39" a="1"/>
  <c r="AD19" i="9"/>
  <c r="AD4038" i="9"/>
  <c r="E12" i="6"/>
  <c r="AD4126" i="9"/>
  <c r="AD4034" i="9"/>
  <c r="H518" i="39" a="1"/>
  <c r="G804" i="39" a="1"/>
  <c r="D212" i="39" a="1"/>
  <c r="AD1434" i="9"/>
  <c r="D711" i="39" a="1"/>
  <c r="F993" i="39" a="1"/>
  <c r="G404" i="39" a="1"/>
  <c r="F269" i="39" a="1"/>
  <c r="F587" i="39" a="1"/>
  <c r="H533" i="39" a="1"/>
  <c r="D431" i="39" a="1"/>
  <c r="F244" i="39" a="1"/>
  <c r="I885" i="39" a="1"/>
  <c r="I387" i="39" a="1"/>
  <c r="H363" i="39" a="1"/>
  <c r="D24" i="39" a="1"/>
  <c r="G378" i="39" a="1"/>
  <c r="D787" i="39" a="1"/>
  <c r="I978" i="39" a="1"/>
  <c r="D344" i="39" a="1"/>
  <c r="G554" i="39" a="1"/>
  <c r="D895" i="39" a="1"/>
  <c r="AD2034" i="9"/>
  <c r="C100" i="39" a="1"/>
  <c r="I488" i="39" a="1"/>
  <c r="I572" i="39" a="1"/>
  <c r="C306" i="39" a="1"/>
  <c r="I65" i="39" a="1"/>
  <c r="G571" i="39" a="1"/>
  <c r="F864" i="39" a="1"/>
  <c r="F190" i="39" a="1"/>
  <c r="C926" i="39" a="1"/>
  <c r="G461" i="39" a="1"/>
  <c r="E829" i="39" a="1"/>
  <c r="E32" i="39" a="1"/>
  <c r="D323" i="39" a="1"/>
  <c r="G675" i="39" a="1"/>
  <c r="I280" i="39" a="1"/>
  <c r="AD3270" i="9"/>
  <c r="G24" i="39" a="1"/>
  <c r="AD1499" i="9"/>
  <c r="G1003" i="39" a="1"/>
  <c r="G94" i="39" a="1"/>
  <c r="F595" i="39" a="1"/>
  <c r="AD3367" i="9"/>
  <c r="G651" i="39" a="1"/>
  <c r="H848" i="39" a="1"/>
  <c r="H990" i="39" a="1"/>
  <c r="AD1298" i="9"/>
  <c r="D23" i="39" a="1"/>
  <c r="D468" i="39" a="1"/>
  <c r="AD1026" i="9"/>
  <c r="G431" i="39" a="1"/>
  <c r="I375" i="39" a="1"/>
  <c r="AD4051" i="9"/>
  <c r="D812" i="39" a="1"/>
  <c r="I403" i="39" a="1"/>
  <c r="H1010" i="39" a="1"/>
  <c r="D12" i="6"/>
  <c r="AD15" i="9"/>
  <c r="F984" i="39" a="1"/>
  <c r="C667" i="39" a="1"/>
  <c r="AD1560" i="9"/>
  <c r="I20" i="39" a="1"/>
  <c r="H1021" i="39" a="1"/>
  <c r="AD4347" i="9"/>
  <c r="AD1823" i="9"/>
  <c r="C618" i="39" a="1"/>
  <c r="G702" i="39" a="1"/>
  <c r="H757" i="39" a="1"/>
  <c r="AD909" i="9"/>
  <c r="AD1781" i="9"/>
  <c r="G261" i="39" a="1"/>
  <c r="AD3491" i="9"/>
  <c r="G810" i="39" a="1"/>
  <c r="I137" i="39" a="1"/>
  <c r="F195" i="39" a="1"/>
  <c r="E910" i="39" a="1"/>
  <c r="AD2684" i="9"/>
  <c r="AD1317" i="9"/>
  <c r="AD396" i="9"/>
  <c r="E349" i="39" a="1"/>
  <c r="E162" i="39" a="1"/>
  <c r="AD3276" i="9"/>
  <c r="F454" i="39" a="1"/>
  <c r="AD3802" i="9"/>
  <c r="G348" i="39" a="1"/>
  <c r="I980" i="39" a="1"/>
  <c r="AD2170" i="9"/>
  <c r="AD3577" i="9"/>
  <c r="C128" i="39" a="1"/>
  <c r="G1016" i="39" a="1"/>
  <c r="C574" i="39" a="1"/>
  <c r="F926" i="39" a="1"/>
  <c r="G842" i="39" a="1"/>
  <c r="I453" i="39" a="1"/>
  <c r="D868" i="39" a="1"/>
  <c r="G910" i="39" a="1"/>
  <c r="H748" i="39" a="1"/>
  <c r="AD1096" i="9"/>
  <c r="E604" i="39" a="1"/>
  <c r="D87" i="39" a="1"/>
  <c r="G429" i="39" a="1"/>
  <c r="AD2093" i="9"/>
  <c r="G831" i="39" a="1"/>
  <c r="AD3010" i="9"/>
  <c r="H685" i="39" a="1"/>
  <c r="AD677" i="9"/>
  <c r="F769" i="39" a="1"/>
  <c r="AD3941" i="9"/>
  <c r="G553" i="39" a="1"/>
  <c r="E347" i="39" a="1"/>
  <c r="AD3188" i="9"/>
  <c r="E155" i="39" a="1"/>
  <c r="C133" i="39" a="1"/>
  <c r="H342" i="39" a="1"/>
  <c r="E39" i="39" a="1"/>
  <c r="D930" i="39" a="1"/>
  <c r="C292" i="39" a="1"/>
  <c r="AD3098" i="9"/>
  <c r="I300" i="39" a="1"/>
  <c r="H960" i="39" a="1"/>
  <c r="D240" i="39" a="1"/>
  <c r="H809" i="39" a="1"/>
  <c r="H490" i="39" a="1"/>
  <c r="AD1564" i="9"/>
  <c r="F510" i="39" a="1"/>
  <c r="G34" i="39" a="1"/>
  <c r="H962" i="39" a="1"/>
  <c r="F52" i="39" a="1"/>
  <c r="C356" i="39" a="1"/>
  <c r="F387" i="39" a="1"/>
  <c r="I296" i="39" a="1"/>
  <c r="G183" i="39" a="1"/>
  <c r="AD249" i="9"/>
  <c r="AD3041" i="9"/>
  <c r="I621" i="39" a="1"/>
  <c r="AD1899" i="9"/>
  <c r="E775" i="39" a="1"/>
  <c r="F887" i="39" a="1"/>
  <c r="C688" i="39" a="1"/>
  <c r="G541" i="39" a="1"/>
  <c r="AD3736" i="9"/>
  <c r="C832" i="39" a="1"/>
  <c r="C82" i="39" a="1"/>
  <c r="C868" i="39" a="1"/>
  <c r="F194" i="39" a="1"/>
  <c r="G335" i="39" a="1"/>
  <c r="C784" i="39" a="1"/>
  <c r="AD593" i="9"/>
  <c r="AD2726" i="9"/>
  <c r="G585" i="39" a="1"/>
  <c r="E252" i="39" a="1"/>
  <c r="H312" i="39" a="1"/>
  <c r="H170" i="39" a="1"/>
  <c r="AD660" i="9"/>
  <c r="C380" i="39" a="1"/>
  <c r="I32" i="39" a="1"/>
  <c r="C420" i="39" a="1"/>
  <c r="AD3356" i="9"/>
  <c r="E453" i="39" a="1"/>
  <c r="H95" i="39" a="1"/>
  <c r="E498" i="39" a="1"/>
  <c r="AD2076" i="9"/>
  <c r="AD1100" i="9"/>
  <c r="AD2659" i="9"/>
  <c r="D904" i="39" a="1"/>
  <c r="AD938" i="9"/>
  <c r="E309" i="39" a="1"/>
  <c r="AD1850" i="9"/>
  <c r="D298" i="39" a="1"/>
  <c r="D881" i="39" a="1"/>
  <c r="G976" i="39" a="1"/>
  <c r="F812" i="39" a="1"/>
  <c r="D602" i="39" a="1"/>
  <c r="AD1498" i="9"/>
  <c r="H933" i="39" a="1"/>
  <c r="C490" i="39" a="1"/>
  <c r="AD345" i="9"/>
  <c r="H929" i="39" a="1"/>
  <c r="H124" i="39" a="1"/>
  <c r="C41" i="39" a="1"/>
  <c r="C607" i="39" a="1"/>
  <c r="H401" i="39" a="1"/>
  <c r="F805" i="39" a="1"/>
  <c r="AD3922" i="9"/>
  <c r="E720" i="39" a="1"/>
  <c r="AD1625" i="9"/>
  <c r="B87" i="12"/>
  <c r="F482" i="39" a="1"/>
  <c r="E105" i="39" a="1"/>
  <c r="AD3249" i="9"/>
  <c r="AD4122" i="9"/>
  <c r="H183" i="39" a="1"/>
  <c r="I430" i="39" a="1"/>
  <c r="I90" i="39" a="1"/>
  <c r="G376" i="39" a="1"/>
  <c r="C101" i="39" a="1"/>
  <c r="I1000" i="39" a="1"/>
  <c r="D668" i="39" a="1"/>
  <c r="C413" i="39" a="1"/>
  <c r="AD1467" i="9"/>
  <c r="G347" i="39" a="1"/>
  <c r="E284" i="39" a="1"/>
  <c r="E590" i="39" a="1"/>
  <c r="AD1372" i="9"/>
  <c r="H837" i="39" a="1"/>
  <c r="C103" i="39" a="1"/>
  <c r="D152" i="39" a="1"/>
  <c r="G235" i="39" a="1"/>
  <c r="H348" i="39" a="1"/>
  <c r="C769" i="39" a="1"/>
  <c r="AD973" i="9"/>
  <c r="D623" i="39" a="1"/>
  <c r="C657" i="39" a="1"/>
  <c r="I547" i="39" a="1"/>
  <c r="D491" i="39" a="1"/>
  <c r="D896" i="39" a="1"/>
  <c r="AD483" i="9"/>
  <c r="G889" i="39" a="1"/>
  <c r="F7" i="39" a="1"/>
  <c r="AD1622" i="9"/>
  <c r="AD4223" i="9"/>
  <c r="D122" i="39" a="1"/>
  <c r="G575" i="39" a="1"/>
  <c r="AD2426" i="9"/>
  <c r="F348" i="39" a="1"/>
  <c r="D368" i="39" a="1"/>
  <c r="H329" i="39" a="1"/>
  <c r="I155" i="39" a="1"/>
  <c r="E743" i="39" a="1"/>
  <c r="C115" i="39" a="1"/>
  <c r="C194" i="39" a="1"/>
  <c r="I616" i="39" a="1"/>
  <c r="AD2260" i="9"/>
  <c r="AD4306" i="9"/>
  <c r="AD4301" i="9"/>
  <c r="E242" i="39" a="1"/>
  <c r="D126" i="39" a="1"/>
  <c r="E179" i="39" a="1"/>
  <c r="I335" i="39" a="1"/>
  <c r="F466" i="39" a="1"/>
  <c r="I86" i="39" a="1"/>
  <c r="AD4400" i="9"/>
  <c r="D394" i="39" a="1"/>
  <c r="AD2539" i="9"/>
  <c r="AD3923" i="9"/>
  <c r="I230" i="39" a="1"/>
  <c r="G654" i="39" a="1"/>
  <c r="H915" i="39" a="1"/>
  <c r="D174" i="39" a="1"/>
  <c r="AD3192" i="9"/>
  <c r="E524" i="39" a="1"/>
  <c r="H680" i="39" a="1"/>
  <c r="E726" i="39" a="1"/>
  <c r="E893" i="39" a="1"/>
  <c r="I757" i="39" a="1"/>
  <c r="AD3946" i="9"/>
  <c r="AD2741" i="9"/>
  <c r="AD4004" i="9"/>
  <c r="G580" i="39" a="1"/>
  <c r="F331" i="39" a="1"/>
  <c r="D119" i="39" a="1"/>
  <c r="I313" i="39" a="1"/>
  <c r="F919" i="39" a="1"/>
  <c r="AD1197" i="9"/>
  <c r="AD3460" i="9"/>
  <c r="E1010" i="39" a="1"/>
  <c r="AD971" i="9"/>
  <c r="D611" i="39" a="1"/>
  <c r="AD1751" i="9"/>
  <c r="G127" i="39" a="1"/>
  <c r="H973" i="39" a="1"/>
  <c r="I704" i="39" a="1"/>
  <c r="D537" i="39" a="1"/>
  <c r="I1006" i="39" a="1"/>
  <c r="H655" i="39" a="1"/>
  <c r="C857" i="39" a="1"/>
  <c r="D353" i="39" a="1"/>
  <c r="AD1804" i="9"/>
  <c r="E449" i="39" a="1"/>
  <c r="H947" i="39" a="1"/>
  <c r="F237" i="39" a="1"/>
  <c r="AD4407" i="9"/>
  <c r="D371" i="39" a="1"/>
  <c r="E64" i="39" a="1"/>
  <c r="AD2716" i="9"/>
  <c r="AD4386" i="9"/>
  <c r="AD3732" i="9"/>
  <c r="C391" i="39" a="1"/>
  <c r="H775" i="39" a="1"/>
  <c r="H508" i="39" a="1"/>
  <c r="F299" i="39" a="1"/>
  <c r="C920" i="39" a="1"/>
  <c r="I648" i="39" a="1"/>
  <c r="AD2894" i="9"/>
  <c r="AD692" i="9"/>
  <c r="AD3685" i="9"/>
  <c r="G224" i="39" a="1"/>
  <c r="B88" i="12"/>
  <c r="E701" i="39" a="1"/>
  <c r="AD1455" i="9"/>
  <c r="B105" i="12"/>
  <c r="D714" i="39" a="1"/>
  <c r="G85" i="39" a="1"/>
  <c r="C873" i="39" a="1"/>
  <c r="G101" i="39" a="1"/>
  <c r="AD1269" i="9"/>
  <c r="F639" i="39" a="1"/>
  <c r="AD4229" i="9"/>
  <c r="C764" i="39" a="1"/>
  <c r="AD3984" i="9"/>
  <c r="C478" i="39" a="1"/>
  <c r="AD1028" i="9"/>
  <c r="F44" i="39" a="1"/>
  <c r="AD4019" i="9"/>
  <c r="H181" i="39" a="1"/>
  <c r="AD2133" i="9"/>
  <c r="I396" i="39" a="1"/>
  <c r="H608" i="39" a="1"/>
  <c r="AD4321" i="9"/>
  <c r="F5" i="39" a="1"/>
  <c r="C605" i="39" a="1"/>
  <c r="I399" i="39" a="1"/>
  <c r="H381" i="39" a="1"/>
  <c r="E747" i="39" a="1"/>
  <c r="I432" i="39" a="1"/>
  <c r="I540" i="39" a="1"/>
  <c r="F92" i="39" a="1"/>
  <c r="G596" i="39" a="1"/>
  <c r="I767" i="39" a="1"/>
  <c r="H866" i="39" a="1"/>
  <c r="I568" i="39" a="1"/>
  <c r="H843" i="39" a="1"/>
  <c r="I17" i="39" a="1"/>
  <c r="G677" i="39" a="1"/>
  <c r="D433" i="39" a="1"/>
  <c r="E199" i="39" a="1"/>
  <c r="B140" i="12"/>
  <c r="H77" i="39" a="1"/>
  <c r="C541" i="39" a="1"/>
  <c r="G247" i="39" a="1"/>
  <c r="G980" i="39" a="1"/>
  <c r="AD668" i="9"/>
  <c r="H288" i="39" a="1"/>
  <c r="F962" i="39" a="1"/>
  <c r="AD3708" i="9"/>
  <c r="AD1901" i="9"/>
  <c r="F33" i="39" a="1"/>
  <c r="E516" i="39" a="1"/>
  <c r="G504" i="39" a="1"/>
  <c r="G974" i="39" a="1"/>
  <c r="C998" i="39" a="1"/>
  <c r="AD102" i="9"/>
  <c r="I839" i="39" a="1"/>
  <c r="AD659" i="9"/>
  <c r="AD1829" i="9"/>
  <c r="AD4261" i="9"/>
  <c r="D123" i="39" a="1"/>
  <c r="D82" i="39" a="1"/>
  <c r="AD606" i="9"/>
  <c r="G877" i="39" a="1"/>
  <c r="C160" i="39" a="1"/>
  <c r="AD1073" i="9"/>
  <c r="AD1603" i="9"/>
  <c r="E30" i="39" a="1"/>
  <c r="D549" i="39" a="1"/>
  <c r="E947" i="39" a="1"/>
  <c r="AD644" i="9"/>
  <c r="E854" i="39" a="1"/>
  <c r="AD975" i="9"/>
  <c r="D763" i="39" a="1"/>
  <c r="H385" i="39" a="1"/>
  <c r="E501" i="39" a="1"/>
  <c r="I486" i="39" a="1"/>
  <c r="D870" i="39" a="1"/>
  <c r="I589" i="39" a="1"/>
  <c r="E343" i="39" a="1"/>
  <c r="F484" i="39" a="1"/>
  <c r="G643" i="39" a="1"/>
  <c r="AD1072" i="9"/>
  <c r="D492" i="39" a="1"/>
  <c r="D864" i="39" a="1"/>
  <c r="C137" i="39" a="1"/>
  <c r="D113" i="39" a="1"/>
  <c r="D121" i="39" a="1"/>
  <c r="D99" i="39" a="1"/>
  <c r="AD1459" i="9"/>
  <c r="AD3325" i="9"/>
  <c r="G122" i="39" a="1"/>
  <c r="D49" i="39" a="1"/>
  <c r="F11" i="39" a="1"/>
  <c r="F747" i="39" a="1"/>
  <c r="G712" i="39" a="1"/>
  <c r="G131" i="39" a="1"/>
  <c r="AD237" i="9"/>
  <c r="E71" i="39" a="1"/>
  <c r="D157" i="39" a="1"/>
  <c r="AD3291" i="9"/>
  <c r="AD3125" i="9"/>
  <c r="C322" i="39" a="1"/>
  <c r="C596" i="39" a="1"/>
  <c r="F983" i="39" a="1"/>
  <c r="I266" i="39" a="1"/>
  <c r="AD752" i="9"/>
  <c r="AD1690" i="9"/>
  <c r="I192" i="39" a="1"/>
  <c r="I463" i="39" a="1"/>
  <c r="AD867" i="9"/>
  <c r="D146" i="39" a="1"/>
  <c r="AD328" i="9"/>
  <c r="H119" i="39" a="1"/>
  <c r="D389" i="39" a="1"/>
  <c r="AD1484" i="9"/>
  <c r="C456" i="39" a="1"/>
  <c r="I161" i="39" a="1"/>
  <c r="G975" i="39" a="1"/>
  <c r="I563" i="39" a="1"/>
  <c r="H326" i="39" a="1"/>
  <c r="C644" i="39" a="1"/>
  <c r="I899" i="39" a="1"/>
  <c r="G65" i="39" a="1"/>
  <c r="D857" i="39" a="1"/>
  <c r="C111" i="39" a="1"/>
  <c r="E328" i="39" a="1"/>
  <c r="AD3275" i="9"/>
  <c r="AD2507" i="9"/>
  <c r="C463" i="39" a="1"/>
  <c r="I28" i="39" a="1"/>
  <c r="AD2141" i="9"/>
  <c r="AD891" i="9"/>
  <c r="D263" i="39" a="1"/>
  <c r="AD680" i="9"/>
  <c r="H526" i="39" a="1"/>
  <c r="AD1973" i="9"/>
  <c r="F380" i="39" a="1"/>
  <c r="D831" i="39" a="1"/>
  <c r="I99" i="39" a="1"/>
  <c r="AD1987" i="9"/>
  <c r="F17" i="6"/>
  <c r="E287" i="39" a="1"/>
  <c r="D702" i="39" a="1"/>
  <c r="AD3993" i="9"/>
  <c r="F329" i="39" a="1"/>
  <c r="AD2298" i="9"/>
  <c r="AD2297" i="9"/>
  <c r="D530" i="39" a="1"/>
  <c r="E520" i="39" a="1"/>
  <c r="C191" i="39" a="1"/>
  <c r="H237" i="39" a="1"/>
  <c r="AD3840" i="9"/>
  <c r="G822" i="39" a="1"/>
  <c r="H462" i="39" a="1"/>
  <c r="D340" i="39" a="1"/>
  <c r="I910" i="39" a="1"/>
  <c r="C257" i="39" a="1"/>
  <c r="C497" i="39" a="1"/>
  <c r="H719" i="39" a="1"/>
  <c r="D79" i="39" a="1"/>
  <c r="G455" i="39" a="1"/>
  <c r="AD4199" i="9"/>
  <c r="D926" i="39" a="1"/>
  <c r="E5" i="39" a="1"/>
  <c r="AD2308" i="9"/>
  <c r="C92" i="39" a="1"/>
  <c r="G468" i="39" a="1"/>
  <c r="H440" i="39" a="1"/>
  <c r="I630" i="39" a="1"/>
  <c r="I979" i="39" a="1"/>
  <c r="D284" i="39" a="1"/>
  <c r="H967" i="39" a="1"/>
  <c r="G757" i="39" a="1"/>
  <c r="H358" i="39" a="1"/>
  <c r="I838" i="39" a="1"/>
  <c r="AD3940" i="9"/>
  <c r="D522" i="39" a="1"/>
  <c r="H661" i="39" a="1"/>
  <c r="AD3997" i="9"/>
  <c r="G7" i="39" a="1"/>
  <c r="AD4449" i="9"/>
  <c r="E680" i="39" a="1"/>
  <c r="C904" i="39" a="1"/>
  <c r="C713" i="39" a="1"/>
  <c r="H985" i="39" a="1"/>
  <c r="H514" i="39" a="1"/>
  <c r="E497" i="39" a="1"/>
  <c r="G671" i="39" a="1"/>
  <c r="F899" i="39" a="1"/>
  <c r="I615" i="39" a="1"/>
  <c r="AD3826" i="9"/>
  <c r="I187" i="39" a="1"/>
  <c r="I271" i="39" a="1"/>
  <c r="AD2805" i="9"/>
  <c r="C887" i="39" a="1"/>
  <c r="G154" i="39" a="1"/>
  <c r="I933" i="39" a="1"/>
  <c r="F48" i="39" a="1"/>
  <c r="F389" i="39" a="1"/>
  <c r="D1020" i="39" a="1"/>
  <c r="C749" i="39" a="1"/>
  <c r="D803" i="39" a="1"/>
  <c r="I998" i="39" a="1"/>
  <c r="D615" i="39" a="1"/>
  <c r="I634" i="39" a="1"/>
  <c r="F556" i="39" a="1"/>
  <c r="AD2424" i="9"/>
  <c r="AD3758" i="9"/>
  <c r="I225" i="39" a="1"/>
  <c r="AD2963" i="9"/>
  <c r="F607" i="39" a="1"/>
  <c r="E585" i="39" a="1"/>
  <c r="H1023" i="39" a="1"/>
  <c r="G888" i="39" a="1"/>
  <c r="AD2777" i="9"/>
  <c r="H873" i="39" a="1"/>
  <c r="C370" i="39" a="1"/>
  <c r="F371" i="39" a="1"/>
  <c r="I475" i="39" a="1"/>
  <c r="D657" i="39" a="1"/>
  <c r="AD2068" i="9"/>
  <c r="G692" i="39" a="1"/>
  <c r="I224" i="39" a="1"/>
  <c r="F642" i="39" a="1"/>
  <c r="AD1697" i="9"/>
  <c r="I354" i="39" a="1"/>
  <c r="AD1628" i="9"/>
  <c r="AD1561" i="9"/>
  <c r="E465" i="39" a="1"/>
  <c r="E361" i="39" a="1"/>
  <c r="AD1211" i="9"/>
  <c r="H351" i="39" a="1"/>
  <c r="I63" i="39" a="1"/>
  <c r="AD3355" i="9"/>
  <c r="G155" i="39" a="1"/>
  <c r="H39" i="39" a="1"/>
  <c r="AD2563" i="9"/>
  <c r="I30" i="39" a="1"/>
  <c r="C811" i="39" a="1"/>
  <c r="G298" i="39" a="1"/>
  <c r="E713" i="39" a="1"/>
  <c r="G693" i="39" a="1"/>
  <c r="C869" i="39" a="1"/>
  <c r="AD1271" i="9"/>
  <c r="I520" i="39" a="1"/>
  <c r="AD1070" i="9"/>
  <c r="D568" i="39" a="1"/>
  <c r="E666" i="39" a="1"/>
  <c r="I1024" i="39" a="1"/>
  <c r="D109" i="39" a="1"/>
  <c r="AD3129" i="9"/>
  <c r="AD2038" i="9"/>
  <c r="D481" i="39" a="1"/>
  <c r="AD372" i="9"/>
  <c r="C942" i="39" a="1"/>
  <c r="I528" i="39" a="1"/>
  <c r="D248" i="39" a="1"/>
  <c r="AD414" i="9"/>
  <c r="E467" i="39" a="1"/>
  <c r="AD3554" i="9"/>
  <c r="D946" i="39" a="1"/>
  <c r="I856" i="39" a="1"/>
  <c r="AD3883" i="9"/>
  <c r="G839" i="39" a="1"/>
  <c r="C813" i="39" a="1"/>
  <c r="G288" i="39" a="1"/>
  <c r="AD3730" i="9"/>
  <c r="D701" i="39" a="1"/>
  <c r="F511" i="39" a="1"/>
  <c r="H434" i="39" a="1"/>
  <c r="B165" i="12"/>
  <c r="I637" i="39" a="1"/>
  <c r="D176" i="39" a="1"/>
  <c r="C76" i="39" a="1"/>
  <c r="AD2026" i="9"/>
  <c r="AD2453" i="9"/>
  <c r="H926" i="39" a="1"/>
  <c r="AD475" i="9"/>
  <c r="C441" i="39" a="1"/>
  <c r="D52" i="39" a="1"/>
  <c r="H146" i="39" a="1"/>
  <c r="D951" i="39" a="1"/>
  <c r="I863" i="39" a="1"/>
  <c r="AD2174" i="9"/>
  <c r="AD921" i="9"/>
  <c r="F90" i="39" a="1"/>
  <c r="AD2561" i="9"/>
  <c r="AD274" i="9"/>
  <c r="I873" i="39" a="1"/>
  <c r="AD3149" i="9"/>
  <c r="C406" i="39" a="1"/>
  <c r="AD2795" i="9"/>
  <c r="AD3795" i="9"/>
  <c r="H311" i="39" a="1"/>
  <c r="E237" i="39" a="1"/>
  <c r="C805" i="39" a="1"/>
  <c r="H100" i="39" a="1"/>
  <c r="AD3396" i="9"/>
  <c r="F643" i="39" a="1"/>
  <c r="C774" i="39" a="1"/>
  <c r="F501" i="39" a="1"/>
  <c r="F699" i="39" a="1"/>
  <c r="AD2840" i="9"/>
  <c r="G163" i="39" a="1"/>
  <c r="E7" i="6"/>
  <c r="AD3088" i="9"/>
  <c r="G1004" i="39" a="1"/>
  <c r="D181" i="39" a="1"/>
  <c r="C963" i="39" a="1"/>
  <c r="AD3095" i="9"/>
  <c r="H140" i="39" a="1"/>
  <c r="AD4349" i="9"/>
  <c r="D273" i="39" a="1"/>
  <c r="D167" i="39" a="1"/>
  <c r="AD4249" i="9"/>
  <c r="E566" i="39" a="1"/>
  <c r="H739" i="39" a="1"/>
  <c r="AD3969" i="9"/>
  <c r="AD2527" i="9"/>
  <c r="AD1117" i="9"/>
  <c r="AD213" i="9"/>
  <c r="H910" i="39" a="1"/>
  <c r="I1010" i="39" a="1"/>
  <c r="AD3853" i="9"/>
  <c r="I807" i="39" a="1"/>
  <c r="C991" i="39" a="1"/>
  <c r="AD3740" i="9"/>
  <c r="I960" i="39" a="1"/>
  <c r="AD2702" i="9"/>
  <c r="AD563" i="9"/>
  <c r="F606" i="39" a="1"/>
  <c r="AD1927" i="9"/>
  <c r="I840" i="39" a="1"/>
  <c r="G361" i="39" a="1"/>
  <c r="H230" i="39" a="1"/>
  <c r="C416" i="39" a="1"/>
  <c r="AD3603" i="9"/>
  <c r="D480" i="39" a="1"/>
  <c r="AD3513" i="9"/>
  <c r="AD2810" i="9"/>
  <c r="F297" i="39" a="1"/>
  <c r="F372" i="39" a="1"/>
  <c r="H314" i="39" a="1"/>
  <c r="D997" i="39" a="1"/>
  <c r="G973" i="39" a="1"/>
  <c r="E193" i="39" a="1"/>
  <c r="E408" i="39" a="1"/>
  <c r="AD2307" i="9"/>
  <c r="AD2113" i="9"/>
  <c r="AD3846" i="9"/>
  <c r="E811" i="39" a="1"/>
  <c r="AD1149" i="9"/>
  <c r="AD2088" i="9"/>
  <c r="I431" i="39" a="1"/>
  <c r="AD1264" i="9"/>
  <c r="F927" i="39" a="1"/>
  <c r="AD4293" i="9"/>
  <c r="H466" i="39" a="1"/>
  <c r="AD1284" i="9"/>
  <c r="H547" i="39" a="1"/>
  <c r="AD2502" i="9"/>
  <c r="D513" i="39" a="1"/>
  <c r="G409" i="39" a="1"/>
  <c r="I935" i="39" a="1"/>
  <c r="I510" i="39" a="1"/>
  <c r="H1017" i="39" a="1"/>
  <c r="AD370" i="9"/>
  <c r="AD2396" i="9"/>
  <c r="AD3842" i="9"/>
  <c r="E932" i="39" a="1"/>
  <c r="H918" i="39" a="1"/>
  <c r="F1" i="39" a="1"/>
  <c r="I821" i="39" a="1"/>
  <c r="F670" i="39" a="1"/>
  <c r="AD1126" i="9"/>
  <c r="F46" i="39" a="1"/>
  <c r="F555" i="39" a="1"/>
  <c r="AD3851" i="9"/>
  <c r="I711" i="39" a="1"/>
  <c r="F570" i="39" a="1"/>
  <c r="C374" i="39" a="1"/>
  <c r="G881" i="39" a="1"/>
  <c r="AD3091" i="9"/>
  <c r="E549" i="39" a="1"/>
  <c r="AD4205" i="9"/>
  <c r="G563" i="39" a="1"/>
  <c r="F596" i="39" a="1"/>
  <c r="I865" i="39" a="1"/>
  <c r="G753" i="39" a="1"/>
  <c r="D89" i="39" a="1"/>
  <c r="H496" i="39" a="1"/>
  <c r="D566" i="39" a="1"/>
  <c r="D293" i="39" a="1"/>
  <c r="E794" i="39" a="1"/>
  <c r="E787" i="39" a="1"/>
  <c r="F351" i="39" a="1"/>
  <c r="C469" i="39" a="1"/>
  <c r="G506" i="39" a="1"/>
  <c r="AD354" i="9"/>
  <c r="I121" i="39" a="1"/>
  <c r="H339" i="39" a="1"/>
  <c r="D372" i="39" a="1"/>
  <c r="G283" i="39" a="1"/>
  <c r="AD1942" i="9"/>
  <c r="I809" i="39" a="1"/>
  <c r="AD530" i="9"/>
  <c r="G149" i="39" a="1"/>
  <c r="E971" i="39" a="1"/>
  <c r="C434" i="39" a="1"/>
  <c r="D913" i="39" a="1"/>
  <c r="AD337" i="9"/>
  <c r="AD2191" i="9"/>
  <c r="C899" i="39" a="1"/>
  <c r="E762" i="39" a="1"/>
  <c r="AD4399" i="9"/>
  <c r="C571" i="39" a="1"/>
  <c r="I542" i="39" a="1"/>
  <c r="G713" i="39" a="1"/>
  <c r="E601" i="39" a="1"/>
  <c r="E958" i="39" a="1"/>
  <c r="F152" i="39" a="1"/>
  <c r="AD3567" i="9"/>
  <c r="AD2855" i="9"/>
  <c r="D351" i="39" a="1"/>
  <c r="G499" i="39" a="1"/>
  <c r="F588" i="39" a="1"/>
  <c r="F756" i="39" a="1"/>
  <c r="H816" i="39" a="1"/>
  <c r="AD532" i="9"/>
  <c r="I620" i="39" a="1"/>
  <c r="D41" i="39" a="1"/>
  <c r="C531" i="39" a="1"/>
  <c r="AD460" i="9"/>
  <c r="D518" i="39" a="1"/>
  <c r="AD4437" i="9"/>
  <c r="AD2915" i="9"/>
  <c r="AD2134" i="9"/>
  <c r="C817" i="39" a="1"/>
  <c r="I281" i="39" a="1"/>
  <c r="AD516" i="9"/>
  <c r="G667" i="39" a="1"/>
  <c r="D226" i="39" a="1"/>
  <c r="AD3415" i="9"/>
  <c r="B112" i="12"/>
  <c r="I267" i="39" a="1"/>
  <c r="E209" i="39" a="1"/>
  <c r="E773" i="39" a="1"/>
  <c r="H225" i="39" a="1"/>
  <c r="AD2195" i="9"/>
  <c r="H701" i="39" a="1"/>
  <c r="D872" i="39" a="1"/>
  <c r="AD912" i="9"/>
  <c r="G428" i="39" a="1"/>
  <c r="AD2728" i="9"/>
  <c r="E107" i="39" a="1"/>
  <c r="E102" i="39" a="1"/>
  <c r="AD436" i="9"/>
  <c r="AD2787" i="9"/>
  <c r="I723" i="39" a="1"/>
  <c r="G53" i="39" a="1"/>
  <c r="I182" i="39" a="1"/>
  <c r="AD1752" i="9"/>
  <c r="I659" i="39" a="1"/>
  <c r="AD1395" i="9"/>
  <c r="D153" i="39" a="1"/>
  <c r="D495" i="39" a="1"/>
  <c r="E200" i="39" a="1"/>
  <c r="D20" i="39" a="1"/>
  <c r="H754" i="39" a="1"/>
  <c r="I421" i="39" a="1"/>
  <c r="AD1994" i="9"/>
  <c r="I917" i="39" a="1"/>
  <c r="C952" i="39" a="1"/>
  <c r="C29" i="39" a="1"/>
  <c r="I178" i="39" a="1"/>
  <c r="AD2229" i="9"/>
  <c r="I331" i="39" a="1"/>
  <c r="AD3301" i="9"/>
  <c r="AD3191" i="9"/>
  <c r="AD1568" i="9"/>
  <c r="D733" i="39" a="1"/>
  <c r="E623" i="39" a="1"/>
  <c r="C823" i="39" a="1"/>
  <c r="AD591" i="9"/>
  <c r="I718" i="39" a="1"/>
  <c r="E917" i="39" a="1"/>
  <c r="H774" i="39" a="1"/>
  <c r="D940" i="39" a="1"/>
  <c r="F378" i="39" a="1"/>
  <c r="D459" i="39" a="1"/>
  <c r="F506" i="39" a="1"/>
  <c r="F300" i="39" a="1"/>
  <c r="AD2533" i="9"/>
  <c r="AD4476" i="9"/>
  <c r="AD787" i="9"/>
  <c r="F256" i="39" a="1"/>
  <c r="C365" i="39" a="1"/>
  <c r="I163" i="39" a="1"/>
  <c r="AD1404" i="9"/>
  <c r="F38" i="39" a="1"/>
  <c r="AD3215" i="9"/>
  <c r="G79" i="39" a="1"/>
  <c r="G519" i="39" a="1"/>
  <c r="F141" i="39" a="1"/>
  <c r="E964" i="39" a="1"/>
  <c r="AD2326" i="9"/>
  <c r="AD3328" i="9"/>
  <c r="AD2243" i="9"/>
  <c r="G781" i="39" a="1"/>
  <c r="H549" i="39" a="1"/>
  <c r="C893" i="39" a="1"/>
  <c r="AD2859" i="9"/>
  <c r="AD851" i="9"/>
  <c r="I455" i="39" a="1"/>
  <c r="AD2487" i="9"/>
  <c r="E825" i="39" a="1"/>
  <c r="E929" i="39" a="1"/>
  <c r="C287" i="39" a="1"/>
  <c r="AD3839" i="9"/>
  <c r="H99" i="39" a="1"/>
  <c r="G870" i="39" a="1"/>
  <c r="C851" i="39" a="1"/>
  <c r="D614" i="39" a="1"/>
  <c r="G907" i="39" a="1"/>
  <c r="I962" i="39" a="1"/>
  <c r="AD3090" i="9"/>
  <c r="AD3196" i="9"/>
  <c r="F280" i="39" a="1"/>
  <c r="AD3060" i="9"/>
  <c r="C898" i="39" a="1"/>
  <c r="AD2917" i="9"/>
  <c r="I808" i="39" a="1"/>
  <c r="I709" i="39" a="1"/>
  <c r="D192" i="39" a="1"/>
  <c r="D348" i="39" a="1"/>
  <c r="AD1869" i="9"/>
  <c r="H980" i="39" a="1"/>
  <c r="G687" i="39" a="1"/>
  <c r="AD4358" i="9"/>
  <c r="H996" i="39" a="1"/>
  <c r="D760" i="39" a="1"/>
  <c r="D33" i="39" a="1"/>
  <c r="G634" i="39" a="1"/>
  <c r="AD420" i="9"/>
  <c r="AD303" i="9"/>
  <c r="F534" i="39" a="1"/>
  <c r="H76" i="39" a="1"/>
  <c r="G435" i="39" a="1"/>
  <c r="E592" i="39" a="1"/>
  <c r="AD574" i="9"/>
  <c r="AD690" i="9"/>
  <c r="E28" i="39" a="1"/>
  <c r="F124" i="39" a="1"/>
  <c r="I560" i="39" a="1"/>
  <c r="I378" i="39" a="1"/>
  <c r="AD1136" i="9"/>
  <c r="E188" i="39" a="1"/>
  <c r="AD2825" i="9"/>
  <c r="I703" i="39" a="1"/>
  <c r="C190" i="39" a="1"/>
  <c r="AD4343" i="9"/>
  <c r="C894" i="39" a="1"/>
  <c r="F40" i="39" a="1"/>
  <c r="H108" i="39" a="1"/>
  <c r="AD2603" i="9"/>
  <c r="E661" i="39" a="1"/>
  <c r="E401" i="39" a="1"/>
  <c r="AD2553" i="9"/>
  <c r="AD528" i="9"/>
  <c r="F741" i="39" a="1"/>
  <c r="AD541" i="9"/>
  <c r="AD3892" i="9"/>
  <c r="C182" i="39" a="1"/>
  <c r="G930" i="39" a="1"/>
  <c r="C96" i="39" a="1"/>
  <c r="I439" i="39" a="1"/>
  <c r="H870" i="39" a="1"/>
  <c r="H229" i="39" a="1"/>
  <c r="I966" i="39" a="1"/>
  <c r="B22" i="12"/>
  <c r="AD4092" i="9"/>
  <c r="E612" i="39" a="1"/>
  <c r="AD3516" i="9"/>
  <c r="AD77" i="9"/>
  <c r="AD2617" i="9"/>
  <c r="AD917" i="9"/>
  <c r="G192" i="39" a="1"/>
  <c r="AD2356" i="9"/>
  <c r="I1015" i="39" a="1"/>
  <c r="H221" i="39" a="1"/>
  <c r="AD1613" i="9"/>
  <c r="AD3096" i="9"/>
  <c r="C157" i="39" a="1"/>
  <c r="C585" i="39" a="1"/>
  <c r="I564" i="39" a="1"/>
  <c r="AD2582" i="9"/>
  <c r="AD2656" i="9"/>
  <c r="AD2345" i="9"/>
  <c r="AD490" i="9"/>
  <c r="F486" i="39" a="1"/>
  <c r="I546" i="39" a="1"/>
  <c r="E146" i="39" a="1"/>
  <c r="F279" i="39" a="1"/>
  <c r="AD1961" i="9"/>
  <c r="C308" i="39" a="1"/>
  <c r="AD2724" i="9"/>
  <c r="F493" i="39" a="1"/>
  <c r="I247" i="39" a="1"/>
  <c r="AD2590" i="9"/>
  <c r="AD2438" i="9"/>
  <c r="AD1441" i="9"/>
  <c r="G140" i="39" a="1"/>
  <c r="AD1045" i="9"/>
  <c r="AD3417" i="9"/>
  <c r="I828" i="39" a="1"/>
  <c r="G737" i="39" a="1"/>
  <c r="H438" i="39" a="1"/>
  <c r="D451" i="39" a="1"/>
  <c r="I290" i="39" a="1"/>
  <c r="D346" i="39" a="1"/>
  <c r="F788" i="39" a="1"/>
  <c r="AD2823" i="9"/>
  <c r="F303" i="39" a="1"/>
  <c r="D713" i="39" a="1"/>
  <c r="AD3146" i="9"/>
  <c r="I410" i="39" a="1"/>
  <c r="AD1224" i="9"/>
  <c r="E870" i="39" a="1"/>
  <c r="E983" i="39" a="1"/>
  <c r="G244" i="39" a="1"/>
  <c r="D613" i="39" a="1"/>
  <c r="AD961" i="9"/>
  <c r="B55" i="12"/>
  <c r="E851" i="39" a="1"/>
  <c r="AD3044" i="9"/>
  <c r="F498" i="39" a="1"/>
  <c r="F715" i="39" a="1"/>
  <c r="F895" i="39" a="1"/>
  <c r="AD4139" i="9"/>
  <c r="AD3863" i="9"/>
  <c r="C189" i="39" a="1"/>
  <c r="E277" i="39" a="1"/>
  <c r="F674" i="39" a="1"/>
  <c r="AD2467" i="9"/>
  <c r="G774" i="39" a="1"/>
  <c r="F14" i="39" a="1"/>
  <c r="I400" i="39" a="1"/>
  <c r="E683" i="39" a="1"/>
  <c r="G901" i="39" a="1"/>
  <c r="F513" i="39" a="1"/>
  <c r="H618" i="39" a="1"/>
  <c r="G332" i="39" a="1"/>
  <c r="F581" i="39" a="1"/>
  <c r="H531" i="39" a="1"/>
  <c r="I286" i="39" a="1"/>
  <c r="H1001" i="39" a="1"/>
  <c r="H446" i="39" a="1"/>
  <c r="AD159" i="9"/>
  <c r="E841" i="39" a="1"/>
  <c r="AD3635" i="9"/>
  <c r="AD1240" i="9"/>
  <c r="F260" i="39" a="1"/>
  <c r="G307" i="39" a="1"/>
  <c r="H950" i="39" a="1"/>
  <c r="H770" i="39" a="1"/>
  <c r="AD434" i="9"/>
  <c r="E989" i="39" a="1"/>
  <c r="D424" i="39" a="1"/>
  <c r="AD3787" i="9"/>
  <c r="B20" i="12"/>
  <c r="E846" i="39" a="1"/>
  <c r="AD2022" i="9"/>
  <c r="I18" i="39" a="1"/>
  <c r="AD2871" i="9"/>
  <c r="F239" i="39" a="1"/>
  <c r="G475" i="39" a="1"/>
  <c r="D595" i="39" a="1"/>
  <c r="G242" i="39" a="1"/>
  <c r="AD73" i="9"/>
  <c r="D112" i="39" a="1"/>
  <c r="C498" i="39" a="1"/>
  <c r="I383" i="39" a="1"/>
  <c r="AD1097" i="9"/>
  <c r="I362" i="39" a="1"/>
  <c r="D575" i="39" a="1"/>
  <c r="E556" i="39" a="1"/>
  <c r="F495" i="39" a="1"/>
  <c r="E517" i="39" a="1"/>
  <c r="AD932" i="9"/>
  <c r="AD4047" i="9"/>
  <c r="C560" i="39" a="1"/>
  <c r="F558" i="39" a="1"/>
  <c r="AD809" i="9"/>
  <c r="C18" i="39" a="1"/>
  <c r="G406" i="39" a="1"/>
  <c r="H569" i="39" a="1"/>
  <c r="F64" i="39" a="1"/>
  <c r="H497" i="39" a="1"/>
  <c r="B71" i="12"/>
  <c r="B11" i="12"/>
  <c r="E432" i="39" a="1"/>
  <c r="AD2654" i="9"/>
  <c r="H431" i="39" a="1"/>
  <c r="AD1294" i="9"/>
  <c r="AD2476" i="9"/>
  <c r="F441" i="39" a="1"/>
  <c r="I80" i="39" a="1"/>
  <c r="AD1798" i="9"/>
  <c r="F173" i="39" a="1"/>
  <c r="AD636" i="9"/>
  <c r="E724" i="39" a="1"/>
  <c r="H939" i="39" a="1"/>
  <c r="F973" i="39" a="1"/>
  <c r="AD3678" i="9"/>
  <c r="G485" i="39" a="1"/>
  <c r="I416" i="39" a="1"/>
  <c r="D670" i="39" a="1"/>
  <c r="F311" i="39" a="1"/>
  <c r="AD1642" i="9"/>
  <c r="E1019" i="39" a="1"/>
  <c r="AD3140" i="9"/>
  <c r="C810" i="39" a="1"/>
  <c r="G690" i="39" a="1"/>
  <c r="I55" i="39" a="1"/>
  <c r="AD3625" i="9"/>
  <c r="I552" i="39" a="1"/>
  <c r="H674" i="39" a="1"/>
  <c r="E756" i="39" a="1"/>
  <c r="E130" i="39" a="1"/>
  <c r="AD3641" i="9"/>
  <c r="I113" i="39" a="1"/>
  <c r="E16" i="39" a="1"/>
  <c r="H979" i="39" a="1"/>
  <c r="G647" i="39" a="1"/>
  <c r="G119" i="39" a="1"/>
  <c r="AD2893" i="9"/>
  <c r="AD4431" i="9"/>
  <c r="C718" i="39" a="1"/>
  <c r="H9" i="39" a="1"/>
  <c r="H522" i="39" a="1"/>
  <c r="G418" i="39" a="1"/>
  <c r="AD3544" i="9"/>
  <c r="I929" i="39" a="1"/>
  <c r="D4" i="39" a="1"/>
  <c r="AD449" i="9"/>
  <c r="G81" i="39" a="1"/>
  <c r="C464" i="39" a="1"/>
  <c r="E93" i="39" a="1"/>
  <c r="AD117" i="9"/>
  <c r="F207" i="39" a="1"/>
  <c r="E735" i="39" a="1"/>
  <c r="H53" i="39" a="1"/>
  <c r="D303" i="39" a="1"/>
  <c r="H277" i="39" a="1"/>
  <c r="E755" i="39" a="1"/>
  <c r="D708" i="39" a="1"/>
  <c r="AD4022" i="9"/>
  <c r="D893" i="39" a="1"/>
  <c r="G617" i="39" a="1"/>
  <c r="AD1027" i="9"/>
  <c r="F942" i="39" a="1"/>
  <c r="AD4243" i="9"/>
  <c r="AD2711" i="9"/>
  <c r="AD2475" i="9"/>
  <c r="AD640" i="9"/>
  <c r="AD422" i="9"/>
  <c r="AD2091" i="9"/>
  <c r="AD2916" i="9"/>
  <c r="G492" i="39" a="1"/>
  <c r="AD1526" i="9"/>
  <c r="H762" i="39" a="1"/>
  <c r="G28" i="39" a="1"/>
  <c r="I622" i="39" a="1"/>
  <c r="D981" i="39" a="1"/>
  <c r="F594" i="39" a="1"/>
  <c r="H375" i="39" a="1"/>
  <c r="H519" i="39" a="1"/>
  <c r="H904" i="39" a="1"/>
  <c r="D398" i="39" a="1"/>
  <c r="AD188" i="9"/>
  <c r="F751" i="39" a="1"/>
  <c r="E189" i="39" a="1"/>
  <c r="F981" i="39" a="1"/>
  <c r="AD3620" i="9"/>
  <c r="AD4425" i="9"/>
  <c r="E212" i="39" a="1"/>
  <c r="C1007" i="39" a="1"/>
  <c r="AD4366" i="9"/>
  <c r="AD1783" i="9"/>
  <c r="C600" i="39" a="1"/>
  <c r="AD2696" i="9"/>
  <c r="D71" i="39" a="1"/>
  <c r="AD3960" i="9"/>
  <c r="F593" i="39" a="1"/>
  <c r="F12" i="6"/>
  <c r="E898" i="39" a="1"/>
  <c r="AD168" i="9"/>
  <c r="I83" i="39" a="1"/>
  <c r="H37" i="39" a="1"/>
  <c r="I605" i="39" a="1"/>
  <c r="AD1910" i="9"/>
  <c r="AD4342" i="9"/>
  <c r="D352" i="39" a="1"/>
  <c r="C113" i="39" a="1"/>
  <c r="AD2145" i="9"/>
  <c r="C603" i="39" a="1"/>
  <c r="AD2928" i="9"/>
  <c r="I77" i="39" a="1"/>
  <c r="G479" i="39" a="1"/>
  <c r="H284" i="39" a="1"/>
  <c r="I397" i="39" a="1"/>
  <c r="F443" i="39" a="1"/>
  <c r="E849" i="39" a="1"/>
  <c r="D117" i="39" a="1"/>
  <c r="AD1852" i="9"/>
  <c r="AD3864" i="9"/>
  <c r="G454" i="39" a="1"/>
  <c r="D503" i="39" a="1"/>
  <c r="G238" i="39" a="1"/>
  <c r="G995" i="39" a="1"/>
  <c r="H251" i="39" a="1"/>
  <c r="C639" i="39" a="1"/>
  <c r="AD192" i="9"/>
  <c r="AD4262" i="9"/>
  <c r="D138" i="39" a="1"/>
  <c r="E211" i="39" a="1"/>
  <c r="AD931" i="9"/>
  <c r="D660" i="39" a="1"/>
  <c r="AD514" i="9"/>
  <c r="D910" i="39" a="1"/>
  <c r="H489" i="39" a="1"/>
  <c r="G326" i="39" a="1"/>
  <c r="AD718" i="9"/>
  <c r="F359" i="39" a="1"/>
  <c r="H275" i="39" a="1"/>
  <c r="I322" i="39" a="1"/>
  <c r="E582" i="39" a="1"/>
  <c r="AD478" i="9"/>
  <c r="AD751" i="9"/>
  <c r="I733" i="39" a="1"/>
  <c r="C788" i="39" a="1"/>
  <c r="AD1394" i="9"/>
  <c r="AD1928" i="9"/>
  <c r="I501" i="39" a="1"/>
  <c r="H243" i="39" a="1"/>
  <c r="AD2259" i="9"/>
  <c r="G12" i="39" a="1"/>
  <c r="C841" i="39" a="1"/>
  <c r="H227" i="39" a="1"/>
  <c r="AD1146" i="9"/>
  <c r="AD327" i="9"/>
  <c r="I265" i="39" a="1"/>
  <c r="AD241" i="9"/>
  <c r="H118" i="39" a="1"/>
  <c r="D1019" i="39" a="1"/>
  <c r="AD3583" i="9"/>
  <c r="F272" i="39" a="1"/>
  <c r="E670" i="39" a="1"/>
  <c r="AD2749" i="9"/>
  <c r="B41" i="12"/>
  <c r="D658" i="39" a="1"/>
  <c r="B110" i="12"/>
  <c r="I765" i="39" a="1"/>
  <c r="F134" i="39" a="1"/>
  <c r="E479" i="39" a="1"/>
  <c r="G114" i="39" a="1"/>
  <c r="AD4322" i="9"/>
  <c r="G97" i="39" a="1"/>
  <c r="F485" i="39" a="1"/>
  <c r="H44" i="39" a="1"/>
  <c r="H154" i="39" a="1"/>
  <c r="AD3830" i="9"/>
  <c r="H503" i="39" a="1"/>
  <c r="E333" i="39" a="1"/>
  <c r="C872" i="39" a="1"/>
  <c r="AD4156" i="9"/>
  <c r="E766" i="39" a="1"/>
  <c r="H361" i="39" a="1"/>
  <c r="AD3870" i="9"/>
  <c r="C25" i="39" a="1"/>
  <c r="B89" i="12"/>
  <c r="AD1516" i="9"/>
  <c r="H553" i="39" a="1"/>
  <c r="G498" i="39" a="1"/>
  <c r="H427" i="39" a="1"/>
  <c r="I85" i="39" a="1"/>
  <c r="C433" i="39" a="1"/>
  <c r="D531" i="39" a="1"/>
  <c r="C625" i="39" a="1"/>
  <c r="E319" i="39" a="1"/>
  <c r="D493" i="39" a="1"/>
  <c r="I536" i="39" a="1"/>
  <c r="G676" i="39" a="1"/>
  <c r="D828" i="39" a="1"/>
  <c r="AD749" i="9"/>
  <c r="AD1896" i="9"/>
  <c r="AD4068" i="9"/>
  <c r="AD3403" i="9"/>
  <c r="D104" i="39" a="1"/>
  <c r="AD1469" i="9"/>
  <c r="G453" i="39" a="1"/>
  <c r="D473" i="39" a="1"/>
  <c r="H102" i="39" a="1"/>
  <c r="F111" i="39" a="1"/>
  <c r="D450" i="39" a="1"/>
  <c r="H724" i="39" a="1"/>
  <c r="H907" i="39" a="1"/>
  <c r="AD318" i="9"/>
  <c r="AD1547" i="9"/>
  <c r="H787" i="39" a="1"/>
  <c r="AD3209" i="9"/>
  <c r="AD1834" i="9"/>
  <c r="AD3399" i="9"/>
  <c r="AD1013" i="9"/>
  <c r="D391" i="39" a="1"/>
  <c r="G791" i="39" a="1"/>
  <c r="AD2651" i="9"/>
  <c r="F568" i="39" a="1"/>
  <c r="I285" i="39" a="1"/>
  <c r="D988" i="39" a="1"/>
  <c r="G32" i="39" a="1"/>
  <c r="I295" i="39" a="1"/>
  <c r="AD1968" i="9"/>
  <c r="AD1709" i="9"/>
  <c r="AD1883" i="9"/>
  <c r="AD155" i="9"/>
  <c r="AD884" i="9"/>
  <c r="I944" i="39" a="1"/>
  <c r="AD951" i="9"/>
  <c r="AD1314" i="9"/>
  <c r="B128" i="12"/>
  <c r="AD1116" i="9"/>
  <c r="D137" i="39" a="1"/>
  <c r="AD1189" i="9"/>
  <c r="H355" i="39" a="1"/>
  <c r="H302" i="39" a="1"/>
  <c r="I408" i="39" a="1"/>
  <c r="C8" i="39" a="1"/>
  <c r="H716" i="39" a="1"/>
  <c r="AD2464" i="9"/>
  <c r="I2" i="39" a="1"/>
  <c r="AD3222" i="9"/>
  <c r="E577" i="39" a="1"/>
  <c r="F179" i="39" a="1"/>
  <c r="I424" i="39" a="1"/>
  <c r="E327" i="39" a="1"/>
  <c r="F13" i="39" a="1"/>
  <c r="I465" i="39" a="1"/>
  <c r="AD3655" i="9"/>
  <c r="AD173" i="9"/>
  <c r="E578" i="39" a="1"/>
  <c r="D533" i="39" a="1"/>
  <c r="E298" i="39" a="1"/>
  <c r="AD4466" i="9"/>
  <c r="F930" i="39" a="1"/>
  <c r="I796" i="39" a="1"/>
  <c r="AD2271" i="9"/>
  <c r="F503" i="39" a="1"/>
  <c r="E204" i="39" a="1"/>
  <c r="C594" i="39" a="1"/>
  <c r="E978" i="39" a="1"/>
  <c r="C244" i="39" a="1"/>
  <c r="I831" i="39" a="1"/>
  <c r="AD779" i="9"/>
  <c r="AD2570" i="9"/>
  <c r="G219" i="39" a="1"/>
  <c r="G309" i="39" a="1"/>
  <c r="D736" i="39" a="1"/>
  <c r="G577" i="39" a="1"/>
  <c r="AD519" i="9"/>
  <c r="H945" i="39" a="1"/>
  <c r="C53" i="39" a="1"/>
  <c r="E368" i="39" a="1"/>
  <c r="D837" i="39" a="1"/>
  <c r="I172" i="39" a="1"/>
  <c r="AD284" i="9"/>
  <c r="D738" i="39" a="1"/>
  <c r="AD399" i="9"/>
  <c r="AD828" i="9"/>
  <c r="C976" i="39" a="1"/>
  <c r="D526" i="39" a="1"/>
  <c r="I561" i="39" a="1"/>
  <c r="F242" i="39" a="1"/>
  <c r="AD3100" i="9"/>
  <c r="G285" i="39" a="1"/>
  <c r="G166" i="39" a="1"/>
  <c r="H331" i="39" a="1"/>
  <c r="G734" i="39" a="1"/>
  <c r="H83" i="39" a="1"/>
  <c r="D635" i="39" a="1"/>
  <c r="C269" i="39" a="1"/>
  <c r="H414" i="39" a="1"/>
  <c r="C843" i="39" a="1"/>
  <c r="G925" i="39" a="1"/>
  <c r="AD108" i="9"/>
  <c r="F421" i="39" a="1"/>
  <c r="G167" i="39" a="1"/>
  <c r="AD2216" i="9"/>
  <c r="E317" i="39" a="1"/>
  <c r="I303" i="39" a="1"/>
  <c r="F85" i="39" a="1"/>
  <c r="E389" i="39" a="1"/>
  <c r="C98" i="39" a="1"/>
  <c r="E128" i="39" a="1"/>
  <c r="AD3607" i="9"/>
  <c r="H279" i="39" a="1"/>
  <c r="G390" i="39" a="1"/>
  <c r="AD1493" i="9"/>
  <c r="F967" i="39" a="1"/>
  <c r="AD1694" i="9"/>
  <c r="E87" i="39" a="1"/>
  <c r="F635" i="39" a="1"/>
  <c r="AD2688" i="9"/>
  <c r="AD4434" i="9"/>
  <c r="E725" i="39" a="1"/>
  <c r="G204" i="39" a="1"/>
  <c r="I575" i="39" a="1"/>
  <c r="G649" i="39" a="1"/>
  <c r="D292" i="39" a="1"/>
  <c r="AD4368" i="9"/>
  <c r="I532" i="39" a="1"/>
  <c r="AD700" i="9"/>
  <c r="AD639" i="9"/>
  <c r="E53" i="39" a="1"/>
  <c r="H295" i="39" a="1"/>
  <c r="I360" i="39" a="1"/>
  <c r="G365" i="39" a="1"/>
  <c r="E176" i="39" a="1"/>
  <c r="I179" i="39" a="1"/>
  <c r="E507" i="39" a="1"/>
  <c r="F722" i="39" a="1"/>
  <c r="H469" i="39" a="1"/>
  <c r="AD4264" i="9"/>
  <c r="H471" i="39" a="1"/>
  <c r="AD3699" i="9"/>
  <c r="AD2090" i="9"/>
  <c r="AD669" i="9"/>
  <c r="AD3521" i="9"/>
  <c r="G205" i="39" a="1"/>
  <c r="I731" i="39" a="1"/>
  <c r="I996" i="39" a="1"/>
  <c r="F356" i="39" a="1"/>
  <c r="E59" i="39" a="1"/>
  <c r="I631" i="39" a="1"/>
  <c r="AD1278" i="9"/>
  <c r="AD525" i="9"/>
  <c r="AD3172" i="9"/>
  <c r="D968" i="39" a="1"/>
  <c r="AD3354" i="9"/>
  <c r="AD1390" i="9"/>
  <c r="H897" i="39" a="1"/>
  <c r="F278" i="39" a="1"/>
  <c r="G191" i="39" a="1"/>
  <c r="AD901" i="9"/>
  <c r="B81" i="12"/>
  <c r="C835" i="39" a="1"/>
  <c r="F625" i="39" a="1"/>
  <c r="G838" i="39" a="1"/>
  <c r="E956" i="39" a="1"/>
  <c r="AD3510" i="9"/>
  <c r="H307" i="39" a="1"/>
  <c r="AD2804" i="9"/>
  <c r="I478" i="39" a="1"/>
  <c r="E645" i="39" a="1"/>
  <c r="AD1817" i="9"/>
  <c r="AD609" i="9"/>
  <c r="H408" i="39" a="1"/>
  <c r="G410" i="39" a="1"/>
  <c r="F653" i="39" a="1"/>
  <c r="AD4408" i="9"/>
  <c r="G338" i="39" a="1"/>
  <c r="E177" i="39" a="1"/>
  <c r="D206" i="39" a="1"/>
  <c r="E137" i="39" a="1"/>
  <c r="AD1966" i="9"/>
  <c r="F695" i="39" a="1"/>
  <c r="B8" i="12"/>
  <c r="F423" i="39" a="1"/>
  <c r="I538" i="39" a="1"/>
  <c r="AD4313" i="9"/>
  <c r="I150" i="39" a="1"/>
  <c r="I817" i="39" a="1"/>
  <c r="AD3947" i="9"/>
  <c r="G809" i="39" a="1"/>
  <c r="F842" i="39" a="1"/>
  <c r="E435" i="39" a="1"/>
  <c r="G217" i="39" a="1"/>
  <c r="H187" i="39" a="1"/>
  <c r="AD2067" i="9"/>
  <c r="G165" i="39" a="1"/>
  <c r="AD239" i="9"/>
  <c r="I592" i="39" a="1"/>
  <c r="AD3935" i="9"/>
  <c r="E139" i="39" a="1"/>
  <c r="E156" i="39" a="1"/>
  <c r="C646" i="39" a="1"/>
  <c r="AD859" i="9"/>
  <c r="AD2472" i="9"/>
  <c r="AD1305" i="9"/>
  <c r="AD1746" i="9"/>
  <c r="E646" i="39" a="1"/>
  <c r="E930" i="39" a="1"/>
  <c r="E691" i="39" a="1"/>
  <c r="I328" i="39" a="1"/>
  <c r="C226" i="39" a="1"/>
  <c r="C890" i="39" a="1"/>
  <c r="C742" i="39" a="1"/>
  <c r="E334" i="39" a="1"/>
  <c r="C457" i="39" a="1"/>
  <c r="E307" i="39" a="1"/>
  <c r="F155" i="39" a="1"/>
  <c r="F605" i="39" a="1"/>
  <c r="AD3570" i="9"/>
  <c r="AD3366" i="9"/>
  <c r="I367" i="39" a="1"/>
  <c r="AD2143" i="9"/>
  <c r="G211" i="39" a="1"/>
  <c r="E456" i="39" a="1"/>
  <c r="I613" i="39" a="1"/>
  <c r="C316" i="39" a="1"/>
  <c r="C694" i="39" a="1"/>
  <c r="G522" i="39" a="1"/>
  <c r="E442" i="39" a="1"/>
  <c r="C505" i="39" a="1"/>
  <c r="I124" i="39" a="1"/>
  <c r="F799" i="39" a="1"/>
  <c r="AD2189" i="9"/>
  <c r="AD1548" i="9"/>
  <c r="D241" i="39" a="1"/>
  <c r="I906" i="39" a="1"/>
  <c r="AD1198" i="9"/>
  <c r="D949" i="39" a="1"/>
  <c r="D250" i="39" a="1"/>
  <c r="D555" i="39" a="1"/>
  <c r="AD1281" i="9"/>
  <c r="E581" i="39" a="1"/>
  <c r="B153" i="12"/>
  <c r="AD2734" i="9"/>
  <c r="F1008" i="39" a="1"/>
  <c r="G398" i="39" a="1"/>
  <c r="I497" i="39" a="1"/>
  <c r="I743" i="39" a="1"/>
  <c r="AD2485" i="9"/>
  <c r="D319" i="39" a="1"/>
  <c r="AD3899" i="9"/>
  <c r="AD4505" i="9"/>
  <c r="AD1464" i="9"/>
  <c r="AD1335" i="9"/>
  <c r="I512" i="39" a="1"/>
  <c r="AD2970" i="9"/>
  <c r="E922" i="39" a="1"/>
  <c r="I549" i="39" a="1"/>
  <c r="I170" i="39" a="1"/>
  <c r="H468" i="39" a="1"/>
  <c r="I307" i="39" a="1"/>
  <c r="G177" i="39" a="1"/>
  <c r="I732" i="39" a="1"/>
  <c r="D30" i="39" a="1"/>
  <c r="AD2676" i="9"/>
  <c r="I955" i="39" a="1"/>
  <c r="B34" i="12"/>
  <c r="D565" i="39" a="1"/>
  <c r="I719" i="39" a="1"/>
  <c r="D832" i="39" a="1"/>
  <c r="B17" i="12"/>
  <c r="E388" i="39" a="1"/>
  <c r="C362" i="39" a="1"/>
  <c r="F749" i="39" a="1"/>
  <c r="H410" i="39" a="1"/>
  <c r="G39" i="39" a="1"/>
  <c r="D211" i="39" a="1"/>
  <c r="E393" i="39" a="1"/>
  <c r="G602" i="39" a="1"/>
  <c r="E484" i="39" a="1"/>
  <c r="AD67" i="9"/>
  <c r="G74" i="39" a="1"/>
  <c r="H409" i="39" a="1"/>
  <c r="AD2944" i="9"/>
  <c r="D149" i="39" a="1"/>
  <c r="AD1109" i="9"/>
  <c r="E376" i="39" a="1"/>
  <c r="AD2445" i="9"/>
  <c r="I389" i="39" a="1"/>
  <c r="E607" i="39" a="1"/>
  <c r="C353" i="39" a="1"/>
  <c r="E82" i="39" a="1"/>
  <c r="D813" i="39" a="1"/>
  <c r="D401" i="39" a="1"/>
  <c r="H622" i="39" a="1"/>
  <c r="E895" i="39" a="1"/>
  <c r="D682" i="39" a="1"/>
  <c r="C630" i="39" a="1"/>
  <c r="G168" i="39" a="1"/>
  <c r="F740" i="39" a="1"/>
  <c r="AD1265" i="9"/>
  <c r="F126" i="39" a="1"/>
  <c r="H890" i="39" a="1"/>
  <c r="AD2052" i="9"/>
  <c r="G323" i="39" a="1"/>
  <c r="I818" i="39" a="1"/>
  <c r="I626" i="39" a="1"/>
  <c r="AD2325" i="9"/>
  <c r="E167" i="39" a="1"/>
  <c r="AD999" i="9"/>
  <c r="AD4487" i="9"/>
  <c r="F444" i="39" a="1"/>
  <c r="AD3595" i="9"/>
  <c r="I639" i="39" a="1"/>
  <c r="AD868" i="9"/>
  <c r="D216" i="39" a="1"/>
  <c r="F509" i="39" a="1"/>
  <c r="F394" i="39" a="1"/>
  <c r="C825" i="39" a="1"/>
  <c r="E723" i="39" a="1"/>
  <c r="AD3807" i="9"/>
  <c r="F25" i="39" a="1"/>
  <c r="D593" i="39" a="1"/>
  <c r="D761" i="39" a="1"/>
  <c r="H365" i="39" a="1"/>
  <c r="G938" i="39" a="1"/>
  <c r="E537" i="39" a="1"/>
  <c r="C846" i="39" a="1"/>
  <c r="AD224" i="9"/>
  <c r="C439" i="39" a="1"/>
  <c r="F716" i="39" a="1"/>
  <c r="AD2429" i="9"/>
  <c r="F361" i="39" a="1"/>
  <c r="H256" i="39" a="1"/>
  <c r="AD4212" i="9"/>
  <c r="AD431" i="9"/>
  <c r="AD3791" i="9"/>
  <c r="F936" i="39" a="1"/>
  <c r="G638" i="39" a="1"/>
  <c r="AD1016" i="9"/>
  <c r="AD1255" i="9"/>
  <c r="C925" i="39" a="1"/>
  <c r="I228" i="39" a="1"/>
  <c r="I495" i="39" a="1"/>
  <c r="AD3494" i="9"/>
  <c r="AD2239" i="9"/>
  <c r="C131" i="39" a="1"/>
  <c r="D688" i="39" a="1"/>
  <c r="I38" i="39" a="1"/>
  <c r="I579" i="39" a="1"/>
  <c r="F918" i="39" a="1"/>
  <c r="H580" i="39" a="1"/>
  <c r="G195" i="39" a="1"/>
  <c r="AD1382" i="9"/>
  <c r="D827" i="39" a="1"/>
  <c r="D789" i="39" a="1"/>
  <c r="AD3277" i="9"/>
  <c r="H853" i="39" a="1"/>
  <c r="H702" i="39" a="1"/>
  <c r="C22" i="39" a="1"/>
  <c r="G301" i="39" a="1"/>
  <c r="H588" i="39" a="1"/>
  <c r="I278" i="39" a="1"/>
  <c r="E746" i="39" a="1"/>
  <c r="C264" i="39" a="1"/>
  <c r="AD2851" i="9"/>
  <c r="AD756" i="9"/>
  <c r="H898" i="39" a="1"/>
  <c r="AD3108" i="9"/>
  <c r="G457" i="39" a="1"/>
  <c r="C86" i="39" a="1"/>
  <c r="F326" i="39" a="1"/>
  <c r="AD635" i="9"/>
  <c r="AD1042" i="9"/>
  <c r="D407" i="39" a="1"/>
  <c r="AD2898" i="9"/>
  <c r="AD3973" i="9"/>
  <c r="G1" i="39" a="1"/>
  <c r="F282" i="39" a="1"/>
  <c r="F334" i="39" a="1"/>
  <c r="D992" i="39" a="1"/>
  <c r="C864" i="39" a="1"/>
  <c r="AD2488" i="9"/>
  <c r="H40" i="39" a="1"/>
  <c r="AD706" i="9"/>
  <c r="AD1710" i="9"/>
  <c r="AD1415" i="9"/>
  <c r="F76" i="39" a="1"/>
  <c r="AD1234" i="9"/>
  <c r="I60" i="39" a="1"/>
  <c r="F592" i="39" a="1"/>
  <c r="C969" i="39" a="1"/>
  <c r="C525" i="39" a="1"/>
  <c r="D168" i="39" a="1"/>
  <c r="G762" i="39" a="1"/>
  <c r="D945" i="39" a="1"/>
  <c r="AD619" i="9"/>
  <c r="H772" i="39" a="1"/>
  <c r="AD4444" i="9"/>
  <c r="D377" i="39" a="1"/>
  <c r="AD3368" i="9"/>
  <c r="G812" i="39" a="1"/>
  <c r="G971" i="39" a="1"/>
  <c r="C412" i="39" a="1"/>
  <c r="F668" i="39" a="1"/>
  <c r="AD462" i="9"/>
  <c r="E953" i="39" a="1"/>
  <c r="G510" i="39" a="1"/>
  <c r="F34" i="39" a="1"/>
  <c r="G380" i="39" a="1"/>
  <c r="I262" i="39" a="1"/>
  <c r="B83" i="12"/>
  <c r="G345" i="39" a="1"/>
  <c r="G719" i="39" a="1"/>
  <c r="AD3449" i="9"/>
  <c r="H89" i="39" a="1"/>
  <c r="AD2594" i="9"/>
  <c r="C496" i="39" a="1"/>
  <c r="D883" i="39" a="1"/>
  <c r="AD4277" i="9"/>
  <c r="I726" i="39" a="1"/>
  <c r="E740" i="39" a="1"/>
  <c r="AD3966" i="9"/>
  <c r="F766" i="39" a="1"/>
  <c r="G953" i="39" a="1"/>
  <c r="AD529" i="9"/>
  <c r="AD1933" i="9"/>
  <c r="AD3817" i="9"/>
  <c r="I878" i="39" a="1"/>
  <c r="B150" i="12"/>
  <c r="AD3324" i="9"/>
  <c r="D608" i="39" a="1"/>
  <c r="E862" i="39" a="1"/>
  <c r="C542" i="39" a="1"/>
  <c r="F158" i="39" a="1"/>
  <c r="AD2974" i="9"/>
  <c r="D833" i="39" a="1"/>
  <c r="H396" i="39" a="1"/>
  <c r="E852" i="39" a="1"/>
  <c r="I867" i="39" a="1"/>
  <c r="AD2235" i="9"/>
  <c r="AD53" i="9"/>
  <c r="H641" i="39" a="1"/>
  <c r="G304" i="39" a="1"/>
  <c r="D5" i="39" a="1"/>
  <c r="AD3933" i="9"/>
  <c r="I587" i="39" a="1"/>
  <c r="D610" i="39" a="1"/>
  <c r="F105" i="39" a="1"/>
  <c r="F712" i="39" a="1"/>
  <c r="C878" i="39" a="1"/>
  <c r="E886" i="39" a="1"/>
  <c r="AD3386" i="9"/>
  <c r="F346" i="39" a="1"/>
  <c r="G112" i="39" a="1"/>
  <c r="H779" i="39" a="1"/>
  <c r="AD3055" i="9"/>
  <c r="H167" i="39" a="1"/>
  <c r="C249" i="39" a="1"/>
  <c r="E243" i="39" a="1"/>
  <c r="G153" i="39" a="1"/>
  <c r="I810" i="39" a="1"/>
  <c r="AD4334" i="9"/>
  <c r="AD512" i="9"/>
  <c r="F131" i="39" a="1"/>
  <c r="AD2070" i="9"/>
  <c r="AD3248" i="9"/>
  <c r="AD379" i="9"/>
  <c r="C39" i="39" a="1"/>
  <c r="C95" i="39" a="1"/>
  <c r="AD2037" i="9"/>
  <c r="I87" i="39" a="1"/>
  <c r="AD220" i="9"/>
  <c r="E698" i="39" a="1"/>
  <c r="F894" i="39" a="1"/>
  <c r="G588" i="39" a="1"/>
  <c r="F787" i="39" a="1"/>
  <c r="F117" i="39" a="1"/>
  <c r="C467" i="39" a="1"/>
  <c r="G459" i="39" a="1"/>
  <c r="I102" i="39" a="1"/>
  <c r="AD2911" i="9"/>
  <c r="AD4331" i="9"/>
  <c r="AD2382" i="9"/>
  <c r="G708" i="39" a="1"/>
  <c r="H148" i="39" a="1"/>
  <c r="D900" i="39" a="1"/>
  <c r="F392" i="39" a="1"/>
  <c r="AD1904" i="9"/>
  <c r="C535" i="39" a="1"/>
  <c r="C604" i="39" a="1"/>
  <c r="E57" i="39" a="1"/>
  <c r="H498" i="39" a="1"/>
  <c r="E106" i="39" a="1"/>
  <c r="F491" i="39" a="1"/>
  <c r="AD3202" i="9"/>
  <c r="AD3294" i="9"/>
  <c r="I277" i="39" a="1"/>
  <c r="C588" i="39" a="1"/>
  <c r="AD781" i="9"/>
  <c r="F283" i="39" a="1"/>
  <c r="G188" i="39" a="1"/>
  <c r="AD391" i="9"/>
  <c r="H575" i="39" a="1"/>
  <c r="G116" i="39" a="1"/>
  <c r="H30" i="39" a="1"/>
  <c r="G343" i="39" a="1"/>
  <c r="G566" i="39" a="1"/>
  <c r="AD2936" i="9"/>
  <c r="I548" i="39" a="1"/>
  <c r="AD3038" i="9"/>
  <c r="D202" i="39" a="1"/>
  <c r="I173" i="39" a="1"/>
  <c r="AD3588" i="9"/>
  <c r="E413" i="39" a="1"/>
  <c r="AD317" i="9"/>
  <c r="B164" i="12"/>
  <c r="AD2771" i="9"/>
  <c r="F435" i="39" a="1"/>
  <c r="G129" i="39" a="1"/>
  <c r="D694" i="39" a="1"/>
  <c r="AD3994" i="9"/>
  <c r="F166" i="39" a="1"/>
  <c r="AD1838" i="9"/>
  <c r="AD2066" i="9"/>
  <c r="I125" i="39" a="1"/>
  <c r="AD4387" i="9"/>
  <c r="I166" i="39" a="1"/>
  <c r="H106" i="39" a="1"/>
  <c r="G415" i="39" a="1"/>
  <c r="E357" i="39" a="1"/>
  <c r="F956" i="39" a="1"/>
  <c r="AD2501" i="9"/>
  <c r="AD2948" i="9"/>
  <c r="B28" i="12"/>
  <c r="H207" i="39" a="1"/>
  <c r="AD1254" i="9"/>
  <c r="C701" i="39" a="1"/>
  <c r="AD904" i="9"/>
  <c r="AD3821" i="9"/>
  <c r="AD2800" i="9"/>
  <c r="AD2626" i="9"/>
  <c r="D712" i="39" a="1"/>
  <c r="E615" i="39" a="1"/>
  <c r="AD2798" i="9"/>
  <c r="AD2535" i="9"/>
  <c r="AD315" i="9"/>
  <c r="AD791" i="9"/>
  <c r="AD2169" i="9"/>
  <c r="AD827" i="9"/>
  <c r="I208" i="39" a="1"/>
  <c r="AD826" i="9"/>
  <c r="D953" i="39" a="1"/>
  <c r="D91" i="39" a="1"/>
  <c r="H22" i="39" a="1"/>
  <c r="I462" i="39" a="1"/>
  <c r="C201" i="39" a="1"/>
  <c r="AD1911" i="9"/>
  <c r="G210" i="39" a="1"/>
  <c r="E931" i="39" a="1"/>
  <c r="I67" i="39" a="1"/>
  <c r="AD3457" i="9"/>
  <c r="F319" i="39" a="1"/>
  <c r="G107" i="39" a="1"/>
  <c r="AD1444" i="9"/>
  <c r="AD2207" i="9"/>
  <c r="AD186" i="9"/>
  <c r="AD1612" i="9"/>
  <c r="H297" i="39" a="1"/>
  <c r="I951" i="39" a="1"/>
  <c r="F94" i="39" a="1"/>
  <c r="G521" i="39" a="1"/>
  <c r="D793" i="39" a="1"/>
  <c r="F497" i="39" a="1"/>
  <c r="C466" i="39" a="1"/>
  <c r="AD157" i="9"/>
  <c r="E380" i="39" a="1"/>
  <c r="E481" i="39" a="1"/>
  <c r="I98" i="39" a="1"/>
  <c r="AD1160" i="9"/>
  <c r="E597" i="39" a="1"/>
  <c r="D843" i="39" a="1"/>
  <c r="E114" i="39" a="1"/>
  <c r="C304" i="39" a="1"/>
  <c r="I989" i="39" a="1"/>
  <c r="E144" i="39" a="1"/>
  <c r="G699" i="39" a="1"/>
  <c r="AD111" i="9"/>
  <c r="I425" i="39" a="1"/>
  <c r="H47" i="39" a="1"/>
  <c r="H721" i="39" a="1"/>
  <c r="AD3563" i="9"/>
  <c r="AD1331" i="9"/>
  <c r="F897" i="39" a="1"/>
  <c r="E599" i="39" a="1"/>
  <c r="F295" i="39" a="1"/>
  <c r="AD2206" i="9"/>
  <c r="D285" i="39" a="1"/>
  <c r="C347" i="39" a="1"/>
  <c r="C263" i="39" a="1"/>
  <c r="I212" i="39" a="1"/>
  <c r="I851" i="39" a="1"/>
  <c r="G815" i="39" a="1"/>
  <c r="H704" i="39" a="1"/>
  <c r="AD3423" i="9"/>
  <c r="F664" i="39" a="1"/>
  <c r="AD1425" i="9"/>
  <c r="E197" i="39" a="1"/>
  <c r="F110" i="39" a="1"/>
  <c r="AD2847" i="9"/>
  <c r="G859" i="39" a="1"/>
  <c r="AD2752" i="9"/>
  <c r="G630" i="39" a="1"/>
  <c r="AD3814" i="9"/>
  <c r="E509" i="39" a="1"/>
  <c r="E63" i="39" a="1"/>
  <c r="AD4146" i="9"/>
  <c r="C205" i="39" a="1"/>
  <c r="E602" i="39" a="1"/>
  <c r="H693" i="39" a="1"/>
  <c r="H611" i="39" a="1"/>
  <c r="C334" i="39" a="1"/>
  <c r="AD4062" i="9"/>
  <c r="H513" i="39" a="1"/>
  <c r="E95" i="39" a="1"/>
  <c r="F879" i="39" a="1"/>
  <c r="H811" i="39" a="1"/>
  <c r="F336" i="39" a="1"/>
  <c r="AD1635" i="9"/>
  <c r="E926" i="39" a="1"/>
  <c r="AD4210" i="9"/>
  <c r="D583" i="39" a="1"/>
  <c r="I316" i="39" a="1"/>
  <c r="AD3875" i="9"/>
  <c r="F41" i="39" a="1"/>
  <c r="C806" i="39" a="1"/>
  <c r="AD4421" i="9"/>
  <c r="G320" i="39" a="1"/>
  <c r="G328" i="39" a="1"/>
  <c r="E378" i="39" a="1"/>
  <c r="F786" i="39" a="1"/>
  <c r="I1011" i="39" a="1"/>
  <c r="C451" i="39" a="1"/>
  <c r="I747" i="39" a="1"/>
  <c r="H760" i="39" a="1"/>
  <c r="F504" i="39" a="1"/>
  <c r="H444" i="39" a="1"/>
  <c r="G658" i="39" a="1"/>
  <c r="AD202" i="9"/>
  <c r="F395" i="39" a="1"/>
  <c r="E745" i="39" a="1"/>
  <c r="AD2422" i="9"/>
  <c r="G484" i="39" a="1"/>
  <c r="AD3871" i="9"/>
  <c r="F39" i="39" a="1"/>
  <c r="G169" i="39" a="1"/>
  <c r="AD1713" i="9"/>
  <c r="AD1767" i="9"/>
  <c r="AD245" i="9"/>
  <c r="AD45" i="9"/>
  <c r="C89" i="39" a="1"/>
  <c r="G4" i="39" a="1"/>
  <c r="AD775" i="9"/>
  <c r="H376" i="39" a="1"/>
  <c r="H761" i="39" a="1"/>
  <c r="AD1949" i="9"/>
  <c r="G227" i="39" a="1"/>
  <c r="F118" i="39" a="1"/>
  <c r="AD3913" i="9"/>
  <c r="F974" i="39" a="1"/>
  <c r="I19" i="39" a="1"/>
  <c r="I200" i="39" a="1"/>
  <c r="C400" i="39" a="1"/>
  <c r="AD1272" i="9"/>
  <c r="C974" i="39" a="1"/>
  <c r="I423" i="39" a="1"/>
  <c r="AD4374" i="9"/>
  <c r="F15" i="39" a="1"/>
  <c r="I402" i="39" a="1"/>
  <c r="I801" i="39" a="1"/>
  <c r="G924" i="39" a="1"/>
  <c r="AD2665" i="9"/>
  <c r="G951" i="39" a="1"/>
  <c r="AD3336" i="9"/>
  <c r="AD2621" i="9"/>
  <c r="F489" i="39" a="1"/>
  <c r="H527" i="39" a="1"/>
  <c r="C159" i="39" a="1"/>
  <c r="F199" i="39" a="1"/>
  <c r="D135" i="39" a="1"/>
  <c r="I27" i="39" a="1"/>
  <c r="E643" i="39" a="1"/>
  <c r="H185" i="39" a="1"/>
  <c r="AD3753" i="9"/>
  <c r="D166" i="39" a="1"/>
  <c r="E806" i="39" a="1"/>
  <c r="F946" i="39" a="1"/>
  <c r="I176" i="39" a="1"/>
  <c r="I975" i="39" a="1"/>
  <c r="F563" i="39" a="1"/>
  <c r="B170" i="12"/>
  <c r="AD54" i="9"/>
  <c r="AD579" i="9"/>
  <c r="AD2224" i="9"/>
  <c r="AD4303" i="9"/>
  <c r="AD3710" i="9"/>
  <c r="AD1997" i="9"/>
  <c r="D680" i="39" a="1"/>
  <c r="AD1849" i="9"/>
  <c r="C965" i="39" a="1"/>
  <c r="AD3948" i="9"/>
  <c r="AD2415" i="9"/>
  <c r="G420" i="39" a="1"/>
  <c r="G246" i="39" a="1"/>
  <c r="AD2655" i="9"/>
  <c r="C614" i="39" a="1"/>
  <c r="AD1854" i="9"/>
  <c r="C871" i="39" a="1"/>
  <c r="AD4066" i="9"/>
  <c r="F425" i="39" a="1"/>
  <c r="F719" i="39" a="1"/>
  <c r="D57" i="39" a="1"/>
  <c r="G670" i="39" a="1"/>
  <c r="D703" i="39" a="1"/>
  <c r="E748" i="39" a="1"/>
  <c r="I531" i="39" a="1"/>
  <c r="AD99" i="9"/>
  <c r="G362" i="39" a="1"/>
  <c r="AD2273" i="9"/>
  <c r="D133" i="39" a="1"/>
  <c r="AD2639" i="9"/>
  <c r="H398" i="39" a="1"/>
  <c r="D851" i="39" a="1"/>
  <c r="F841" i="39" a="1"/>
  <c r="D163" i="39" a="1"/>
  <c r="H562" i="39" a="1"/>
  <c r="F324" i="39" a="1"/>
  <c r="D696" i="39" a="1"/>
  <c r="AD2126" i="9"/>
  <c r="D143" i="39" a="1"/>
  <c r="D884" i="39" a="1"/>
  <c r="E628" i="39" a="1"/>
  <c r="AD1333" i="9"/>
  <c r="I921" i="39" a="1"/>
  <c r="AD2517" i="9"/>
  <c r="C388" i="39" a="1"/>
  <c r="D95" i="39" a="1"/>
  <c r="AD890" i="9"/>
  <c r="D902" i="39" a="1"/>
  <c r="G201" i="39" a="1"/>
  <c r="C417" i="39" a="1"/>
  <c r="AD3066" i="9"/>
  <c r="C468" i="39" a="1"/>
  <c r="F209" i="39" a="1"/>
  <c r="AD3785" i="9"/>
  <c r="AD3014" i="9"/>
  <c r="AD248" i="9"/>
  <c r="F604" i="39" a="1"/>
  <c r="G64" i="39" a="1"/>
  <c r="C121" i="39" a="1"/>
  <c r="C763" i="39" a="1"/>
  <c r="AD1836" i="9"/>
  <c r="AD3278" i="9"/>
  <c r="AD844" i="9"/>
  <c r="H43" i="39" a="1"/>
  <c r="E1012" i="39" a="1"/>
  <c r="H219" i="39" a="1"/>
  <c r="AD466" i="9"/>
  <c r="E253" i="39" a="1"/>
  <c r="AD2166" i="9"/>
  <c r="C526" i="39" a="1"/>
  <c r="G576" i="39" a="1"/>
  <c r="G659" i="39" a="1"/>
  <c r="F577" i="39" a="1"/>
  <c r="AD1350" i="9"/>
  <c r="H537" i="39" a="1"/>
  <c r="E451" i="39" a="1"/>
  <c r="B54" i="12"/>
  <c r="G425" i="39" a="1"/>
  <c r="G146" i="39" a="1"/>
  <c r="I578" i="39" a="1"/>
  <c r="AD3876" i="9"/>
  <c r="F71" i="39" a="1"/>
  <c r="I729" i="39" a="1"/>
  <c r="AD2531" i="9"/>
  <c r="AD4144" i="9"/>
  <c r="I177" i="39" a="1"/>
  <c r="AD936" i="9"/>
  <c r="AD2244" i="9"/>
  <c r="G744" i="39" a="1"/>
  <c r="G208" i="39" a="1"/>
  <c r="AD243" i="9"/>
  <c r="F7" i="6"/>
  <c r="F819" i="39" a="1"/>
  <c r="F987" i="39" a="1"/>
  <c r="G882" i="39" a="1"/>
  <c r="AD1313" i="9"/>
  <c r="AD3110" i="9"/>
  <c r="AD643" i="9"/>
  <c r="AD3184" i="9"/>
  <c r="F943" i="39" a="1"/>
  <c r="E614" i="39" a="1"/>
  <c r="AD1544" i="9"/>
  <c r="G368" i="39" a="1"/>
  <c r="AD2565" i="9"/>
  <c r="AD1251" i="9"/>
  <c r="G502" i="39" a="1"/>
  <c r="AD426" i="9"/>
  <c r="I632" i="39" a="1"/>
  <c r="D426" i="39" a="1"/>
  <c r="AD3962" i="9"/>
  <c r="G159" i="39" a="1"/>
  <c r="E761" i="39" a="1"/>
  <c r="I103" i="39" a="1"/>
  <c r="C988" i="39" a="1"/>
  <c r="F401" i="39" a="1"/>
  <c r="AD1079" i="9"/>
  <c r="C1024" i="39" a="1"/>
  <c r="AD3282" i="9"/>
  <c r="AD2707" i="9"/>
  <c r="D275" i="39" a="1"/>
  <c r="AD2780" i="9"/>
  <c r="H139" i="39" a="1"/>
  <c r="AD1948" i="9"/>
  <c r="G941" i="39" a="1"/>
  <c r="AD305" i="9"/>
  <c r="AD2802" i="9"/>
  <c r="G573" i="39" a="1"/>
  <c r="D596" i="39" a="1"/>
  <c r="I368" i="39" a="1"/>
  <c r="AD2045" i="9"/>
  <c r="AD3077" i="9"/>
  <c r="AD2024" i="9"/>
  <c r="B40" i="12"/>
  <c r="AD323" i="9"/>
  <c r="H368" i="39" a="1"/>
  <c r="AD3500" i="9"/>
  <c r="D296" i="39" a="1"/>
  <c r="AD1868" i="9"/>
  <c r="AD1536" i="9"/>
  <c r="AD2103" i="9"/>
  <c r="C233" i="39" a="1"/>
  <c r="D919" i="39" a="1"/>
  <c r="D740" i="39" a="1"/>
  <c r="C958" i="39" a="1"/>
  <c r="AD1998" i="9"/>
  <c r="H773" i="39" a="1"/>
  <c r="D179" i="39" a="1"/>
  <c r="AD3026" i="9"/>
  <c r="F900" i="39" a="1"/>
  <c r="AD1700" i="9"/>
  <c r="H969" i="39" a="1"/>
  <c r="AD259" i="9"/>
  <c r="AD1909" i="9"/>
  <c r="AD306" i="9"/>
  <c r="AD3615" i="9"/>
  <c r="C707" i="39" a="1"/>
  <c r="D659" i="39" a="1"/>
  <c r="B91" i="12"/>
  <c r="I780" i="39" a="1"/>
  <c r="H938" i="39" a="1"/>
  <c r="I57" i="39" a="1"/>
  <c r="G984" i="39" a="1"/>
  <c r="C289" i="39" a="1"/>
  <c r="G157" i="39" a="1"/>
  <c r="C300" i="39" a="1"/>
  <c r="AD1290" i="9"/>
  <c r="AD1374" i="9"/>
  <c r="AD1595" i="9"/>
  <c r="I752" i="39" a="1"/>
  <c r="AD362" i="9"/>
  <c r="G668" i="39" a="1"/>
  <c r="I553" i="39" a="1"/>
  <c r="H201" i="39" a="1"/>
  <c r="F915" i="39" a="1"/>
  <c r="AD4457" i="9"/>
  <c r="AD3471" i="9"/>
  <c r="C218" i="39" a="1"/>
  <c r="B167" i="12"/>
  <c r="AD4018" i="9"/>
  <c r="AD3866" i="9"/>
  <c r="AD2649" i="9"/>
  <c r="E120" i="39" a="1"/>
  <c r="AD2744" i="9"/>
  <c r="I748" i="39" a="1"/>
  <c r="D59" i="39" a="1"/>
  <c r="C867" i="39" a="1"/>
  <c r="E299" i="39" a="1"/>
  <c r="AD3138" i="9"/>
  <c r="D484" i="39" a="1"/>
  <c r="G958" i="39" a="1"/>
  <c r="G645" i="39" a="1"/>
  <c r="H722" i="39" a="1"/>
  <c r="I482" i="39" a="1"/>
  <c r="I750" i="39" a="1"/>
  <c r="G108" i="39" a="1"/>
  <c r="G29" i="39" a="1"/>
  <c r="D367" i="39" a="1"/>
  <c r="AD3351" i="9"/>
  <c r="AD1011" i="9"/>
  <c r="F911" i="39" a="1"/>
  <c r="H142" i="39" a="1"/>
  <c r="F339" i="39" a="1"/>
  <c r="I847" i="39" a="1"/>
  <c r="AD3522" i="9"/>
  <c r="AD2606" i="9"/>
  <c r="F54" i="39" a="1"/>
  <c r="C195" i="39" a="1"/>
  <c r="AD3932" i="9"/>
  <c r="AD1311" i="9"/>
  <c r="D13" i="39" a="1"/>
  <c r="G413" i="39" a="1"/>
  <c r="F912" i="39" a="1"/>
  <c r="AD2690" i="9"/>
  <c r="E121" i="39" a="1"/>
  <c r="AD646" i="9"/>
  <c r="AD2704" i="9"/>
  <c r="AD4186" i="9"/>
  <c r="F328" i="39" a="1"/>
  <c r="G711" i="39" a="1"/>
  <c r="AD1750" i="9"/>
  <c r="AD4246" i="9"/>
  <c r="AD2230" i="9"/>
  <c r="H20" i="39" a="1"/>
  <c r="I395" i="39" a="1"/>
  <c r="E563" i="39" a="1"/>
  <c r="AD784" i="9"/>
  <c r="I231" i="39" a="1"/>
  <c r="AD4299" i="9"/>
  <c r="D744" i="39" a="1"/>
  <c r="AD536" i="9"/>
  <c r="E184" i="39" a="1"/>
  <c r="AD3965" i="9"/>
  <c r="AD2241" i="9"/>
  <c r="E864" i="39" a="1"/>
  <c r="I8" i="39" a="1"/>
  <c r="H231" i="39" a="1"/>
  <c r="H254" i="39" a="1"/>
  <c r="AD1806" i="9"/>
  <c r="E49" i="39" a="1"/>
  <c r="F863" i="39" a="1"/>
  <c r="C943" i="39" a="1"/>
  <c r="D829" i="39" a="1"/>
  <c r="H447" i="39" a="1"/>
  <c r="F935" i="39" a="1"/>
  <c r="F1003" i="39" a="1"/>
  <c r="AD3569" i="9"/>
  <c r="AD1268" i="9"/>
  <c r="G381" i="39" a="1"/>
  <c r="AD1159" i="9"/>
  <c r="H523" i="39" a="1"/>
  <c r="G908" i="39" a="1"/>
  <c r="E984" i="39" a="1"/>
  <c r="H978" i="39" a="1"/>
  <c r="D101" i="39" a="1"/>
  <c r="F600" i="39" a="1"/>
  <c r="AD440" i="9"/>
  <c r="D289" i="39" a="1"/>
  <c r="D645" i="39" a="1"/>
  <c r="I79" i="39" a="1"/>
  <c r="H548" i="39" a="1"/>
  <c r="D150" i="39" a="1"/>
  <c r="AD576" i="9"/>
  <c r="H290" i="39" a="1"/>
  <c r="AD1676" i="9"/>
  <c r="H448" i="39" a="1"/>
  <c r="C11" i="39" a="1"/>
  <c r="C126" i="39" a="1"/>
  <c r="AD152" i="9"/>
  <c r="AD1102" i="9"/>
  <c r="E258" i="39" a="1"/>
  <c r="I223" i="39" a="1"/>
  <c r="E99" i="39" a="1"/>
  <c r="E3" i="39" a="1"/>
  <c r="C597" i="39" a="1"/>
  <c r="F843" i="39" a="1"/>
  <c r="G896" i="39" a="1"/>
  <c r="AD194" i="9"/>
  <c r="D960" i="39" a="1"/>
  <c r="F154" i="39" a="1"/>
  <c r="AD725" i="9"/>
  <c r="AD3879" i="9"/>
  <c r="AD1831" i="9"/>
  <c r="D661" i="39" a="1"/>
  <c r="G581" i="39" a="1"/>
  <c r="C338" i="39" a="1"/>
  <c r="C561" i="39" a="1"/>
  <c r="G669" i="39" a="1"/>
  <c r="C633" i="39" a="1"/>
  <c r="AD1660" i="9"/>
  <c r="F636" i="39" a="1"/>
  <c r="E134" i="39" a="1"/>
  <c r="H633" i="39" a="1"/>
  <c r="D34" i="39" a="1"/>
  <c r="C124" i="39" a="1"/>
  <c r="G636" i="39" a="1"/>
  <c r="I734" i="39" a="1"/>
  <c r="E583" i="39" a="1"/>
  <c r="AD939" i="9"/>
  <c r="AD3653" i="9"/>
  <c r="C50" i="39" a="1"/>
  <c r="I252" i="39" a="1"/>
  <c r="AD2960" i="9"/>
  <c r="G546" i="39" a="1"/>
  <c r="G696" i="39" a="1"/>
  <c r="D276" i="39" a="1"/>
  <c r="C282" i="39" a="1"/>
  <c r="AD1081" i="9"/>
  <c r="E822" i="39" a="1"/>
  <c r="AD199" i="9"/>
  <c r="E570" i="39" a="1"/>
  <c r="D589" i="39" a="1"/>
  <c r="I1017" i="39" a="1"/>
  <c r="AD3228" i="9"/>
  <c r="H706" i="39" a="1"/>
  <c r="C919" i="39" a="1"/>
  <c r="E175" i="39" a="1"/>
  <c r="AD1559" i="9"/>
  <c r="H206" i="39" a="1"/>
  <c r="E235" i="39" a="1"/>
  <c r="AD1530" i="9"/>
  <c r="H688" i="39" a="1"/>
  <c r="D607" i="39" a="1"/>
  <c r="G256" i="39" a="1"/>
  <c r="AD3939" i="9"/>
  <c r="B119" i="12"/>
  <c r="I348" i="39" a="1"/>
  <c r="C746" i="39" a="1"/>
  <c r="E707" i="39" a="1"/>
  <c r="F535" i="39" a="1"/>
  <c r="H576" i="39" a="1"/>
  <c r="AD1545" i="9"/>
  <c r="D887" i="39" a="1"/>
  <c r="AD116" i="9"/>
  <c r="AD3488" i="9"/>
  <c r="D681" i="39" a="1"/>
  <c r="I66" i="39" a="1"/>
  <c r="C865" i="39" a="1"/>
  <c r="F725" i="39" a="1"/>
  <c r="AD405" i="9"/>
  <c r="AD758" i="9"/>
  <c r="AD3175" i="9"/>
  <c r="AD2182" i="9"/>
  <c r="G526" i="39" a="1"/>
  <c r="I820" i="39" a="1"/>
  <c r="F216" i="39" a="1"/>
  <c r="D224" i="39" a="1"/>
  <c r="E803" i="39" a="1"/>
  <c r="D665" i="39" a="1"/>
  <c r="D460" i="39" a="1"/>
  <c r="E131" i="39" a="1"/>
  <c r="AD1161" i="9"/>
  <c r="AD3311" i="9"/>
  <c r="AD1334" i="9"/>
  <c r="D552" i="39" a="1"/>
  <c r="B19" i="12"/>
  <c r="E973" i="39" a="1"/>
  <c r="F422" i="39" a="1"/>
  <c r="F313" i="39" a="1"/>
  <c r="E730" i="39" a="1"/>
  <c r="F316" i="39" a="1"/>
  <c r="G853" i="39" a="1"/>
  <c r="E171" i="39" a="1"/>
  <c r="D848" i="39" a="1"/>
  <c r="D924" i="39" a="1"/>
  <c r="I985" i="39" a="1"/>
  <c r="E239" i="39" a="1"/>
  <c r="AD3346" i="9"/>
  <c r="H888" i="39" a="1"/>
  <c r="H289" i="39" a="1"/>
  <c r="G356" i="39" a="1"/>
  <c r="F448" i="39" a="1"/>
  <c r="H619" i="39" a="1"/>
  <c r="H116" i="39" a="1"/>
  <c r="AD1776" i="9"/>
  <c r="D923" i="39" a="1"/>
  <c r="AD2512" i="9"/>
  <c r="AD3465" i="9"/>
  <c r="H525" i="39" a="1"/>
  <c r="AD3287" i="9"/>
  <c r="G717" i="39" a="1"/>
  <c r="AD4356" i="9"/>
  <c r="E858" i="39" a="1"/>
  <c r="C529" i="39" a="1"/>
  <c r="AD3645" i="9"/>
  <c r="E981" i="39" a="1"/>
  <c r="AD714" i="9"/>
  <c r="AD2157" i="9"/>
  <c r="AD4106" i="9"/>
  <c r="E66" i="39" a="1"/>
  <c r="AD728" i="9"/>
  <c r="AD2077" i="9"/>
  <c r="C776" i="39" a="1"/>
  <c r="AD3390" i="9"/>
  <c r="E375" i="39" a="1"/>
  <c r="G848" i="39" a="1"/>
  <c r="I272" i="39" a="1"/>
  <c r="H441" i="39" a="1"/>
  <c r="AD438" i="9"/>
  <c r="AD3865" i="9"/>
  <c r="AD1092" i="9"/>
  <c r="AD254" i="9"/>
  <c r="AD2383" i="9"/>
  <c r="AD1967" i="9"/>
  <c r="AD2188" i="9"/>
  <c r="F733" i="39" a="1"/>
  <c r="G190" i="39" a="1"/>
  <c r="AD641" i="9"/>
  <c r="C564" i="39" a="1"/>
  <c r="F428" i="39" a="1"/>
  <c r="I853" i="39" a="1"/>
  <c r="G83" i="39" a="1"/>
  <c r="C792" i="39" a="1"/>
  <c r="G202" i="39" a="1"/>
  <c r="AD3039" i="9"/>
  <c r="AD2591" i="9"/>
  <c r="AD1447" i="9"/>
  <c r="AD2743" i="9"/>
  <c r="F72" i="39" a="1"/>
  <c r="I769" i="39" a="1"/>
  <c r="I894" i="39" a="1"/>
  <c r="AD1063" i="9"/>
  <c r="D96" i="39" a="1"/>
  <c r="F458" i="39" a="1"/>
  <c r="D795" i="39" a="1"/>
  <c r="F519" i="39" a="1"/>
  <c r="C728" i="39" a="1"/>
  <c r="G836" i="39" a="1"/>
  <c r="I824" i="39" a="1"/>
  <c r="E528" i="39" a="1"/>
  <c r="D683" i="39" a="1"/>
  <c r="D889" i="39" a="1"/>
  <c r="D544" i="39" a="1"/>
  <c r="D462" i="39" a="1"/>
  <c r="AD3703" i="9"/>
  <c r="AD2306" i="9"/>
  <c r="E223" i="39" a="1"/>
  <c r="D46" i="39" a="1"/>
  <c r="C641" i="39" a="1"/>
  <c r="E530" i="39" a="1"/>
  <c r="G63" i="39" a="1"/>
  <c r="AD1481" i="9"/>
  <c r="I591" i="39" a="1"/>
  <c r="G752" i="39" a="1"/>
  <c r="G139" i="39" a="1"/>
  <c r="AD3656" i="9"/>
  <c r="AD1652" i="9"/>
  <c r="C246" i="39" a="1"/>
  <c r="H299" i="39" a="1"/>
  <c r="G982" i="39" a="1"/>
  <c r="AD3981" i="9"/>
  <c r="AD4082" i="9"/>
  <c r="I268" i="39" a="1"/>
  <c r="E384" i="39" a="1"/>
  <c r="AD3536" i="9"/>
  <c r="AD3335" i="9"/>
  <c r="H917" i="39" a="1"/>
  <c r="AD265" i="9"/>
  <c r="F246" i="39" a="1"/>
  <c r="AD1761" i="9"/>
  <c r="AD990" i="9"/>
  <c r="H564" i="39" a="1"/>
  <c r="AD47" i="9"/>
  <c r="AD1518" i="9"/>
  <c r="D937" i="39" a="1"/>
  <c r="C207" i="39" a="1"/>
  <c r="D914" i="39" a="1"/>
  <c r="AD1811" i="9"/>
  <c r="E460" i="39" a="1"/>
  <c r="G503" i="39" a="1"/>
  <c r="AD4138" i="9"/>
  <c r="D601" i="39" a="1"/>
  <c r="AD3436" i="9"/>
  <c r="AD3463" i="9"/>
  <c r="G234" i="39" a="1"/>
  <c r="I483" i="39" a="1"/>
  <c r="AD4073" i="9"/>
  <c r="F309" i="39" a="1"/>
  <c r="C593" i="39" a="1"/>
  <c r="F950" i="39" a="1"/>
  <c r="AD3253" i="9"/>
  <c r="G874" i="39" a="1"/>
  <c r="AD4140" i="9"/>
  <c r="H901" i="39" a="1"/>
  <c r="E383" i="39" a="1"/>
  <c r="D111" i="39" a="1"/>
  <c r="H534" i="39" a="1"/>
  <c r="G694" i="39" a="1"/>
  <c r="H656" i="39" a="1"/>
  <c r="AD3074" i="9"/>
  <c r="I162" i="39" a="1"/>
  <c r="AD1668" i="9"/>
  <c r="I795" i="39" a="1"/>
  <c r="G440" i="39" a="1"/>
  <c r="G562" i="39" a="1"/>
  <c r="F413" i="39" a="1"/>
  <c r="C1020" i="39" a="1"/>
  <c r="AD4094" i="9"/>
  <c r="I905" i="39" a="1"/>
  <c r="AD1573" i="9"/>
  <c r="B38" i="12"/>
  <c r="G846" i="39" a="1"/>
  <c r="C967" i="39" a="1"/>
  <c r="F488" i="39" a="1"/>
  <c r="AD2299" i="9"/>
  <c r="C302" i="39" a="1"/>
  <c r="AD2906" i="9"/>
  <c r="D151" i="39" a="1"/>
  <c r="C84" i="39" a="1"/>
  <c r="E1003" i="39" a="1"/>
  <c r="AD2252" i="9"/>
  <c r="H151" i="39" a="1"/>
  <c r="H635" i="39" a="1"/>
  <c r="C794" i="39" a="1"/>
  <c r="F450" i="39" a="1"/>
  <c r="H667" i="39" a="1"/>
  <c r="F718" i="39" a="1"/>
  <c r="C768" i="39" a="1"/>
  <c r="AD104" i="9"/>
  <c r="C402" i="39" a="1"/>
  <c r="I321" i="39" a="1"/>
  <c r="G736" i="39" a="1"/>
  <c r="D410" i="39" a="1"/>
  <c r="F182" i="39" a="1"/>
  <c r="I669" i="39" a="1"/>
  <c r="C793" i="39" a="1"/>
  <c r="I947" i="39" a="1"/>
  <c r="F325" i="39" a="1"/>
  <c r="AD979" i="9"/>
  <c r="E559" i="39" a="1"/>
  <c r="E129" i="39" a="1"/>
  <c r="F867" i="39" a="1"/>
  <c r="AD4026" i="9"/>
  <c r="AD2687" i="9"/>
  <c r="AD2636" i="9"/>
  <c r="I772" i="39" a="1"/>
  <c r="E430" i="39" a="1"/>
  <c r="C311" i="39" a="1"/>
  <c r="G142" i="39" a="1"/>
  <c r="C563" i="39" a="1"/>
  <c r="D944" i="39" a="1"/>
  <c r="AD1888" i="9"/>
  <c r="E289" i="39" a="1"/>
  <c r="AD3392" i="9"/>
  <c r="AD2797" i="9"/>
  <c r="F461" i="39" a="1"/>
  <c r="D888" i="39" a="1"/>
  <c r="C389" i="39" a="1"/>
  <c r="I896" i="39" a="1"/>
  <c r="AD1203" i="9"/>
  <c r="E54" i="39" a="1"/>
  <c r="G663" i="39" a="1"/>
  <c r="E416" i="39" a="1"/>
  <c r="E697" i="39" a="1"/>
  <c r="AD2009" i="9"/>
  <c r="AD385" i="9"/>
  <c r="B72" i="12"/>
  <c r="I412" i="39" a="1"/>
  <c r="AD877" i="9"/>
  <c r="E544" i="39" a="1"/>
  <c r="I915" i="39" a="1"/>
  <c r="I508" i="39" a="1"/>
  <c r="AD1985" i="9"/>
  <c r="D154" i="39" a="1"/>
  <c r="E110" i="39" a="1"/>
  <c r="AD589" i="9"/>
  <c r="G286" i="39" a="1"/>
  <c r="F255" i="39" a="1"/>
  <c r="E536" i="39" a="1"/>
  <c r="H763" i="39" a="1"/>
  <c r="AD367" i="9"/>
  <c r="D934" i="39" a="1"/>
  <c r="I259" i="39" a="1"/>
  <c r="AD4279" i="9"/>
  <c r="I870" i="39" a="1"/>
  <c r="I927" i="39" a="1"/>
  <c r="AD1343" i="9"/>
  <c r="AD1543" i="9"/>
  <c r="B107" i="12"/>
  <c r="AD3374" i="9"/>
  <c r="C476" i="39" a="1"/>
  <c r="C472" i="39" a="1"/>
  <c r="C384" i="39" a="1"/>
  <c r="AD4230" i="9"/>
  <c r="E186" i="39" a="1"/>
  <c r="E73" i="39" a="1"/>
  <c r="D1002" i="39" a="1"/>
  <c r="C881" i="39" a="1"/>
  <c r="AD958" i="9"/>
  <c r="H175" i="39" a="1"/>
  <c r="G1012" i="39" a="1"/>
  <c r="AD1321" i="9"/>
  <c r="D989" i="39" a="1"/>
  <c r="B157" i="12"/>
  <c r="I422" i="39" a="1"/>
  <c r="AD2889" i="9"/>
  <c r="AD1539" i="9"/>
  <c r="G27" i="39" a="1"/>
  <c r="H350" i="39" a="1"/>
  <c r="F474" i="39" a="1"/>
  <c r="G672" i="39" a="1"/>
  <c r="G184" i="39" a="1"/>
  <c r="AD1637" i="9"/>
  <c r="F80" i="39" a="1"/>
  <c r="D523" i="39" a="1"/>
  <c r="C1014" i="39" a="1"/>
  <c r="AD2647" i="9"/>
  <c r="H1020" i="39" a="1"/>
  <c r="D421" i="39" a="1"/>
  <c r="AD2966" i="9"/>
  <c r="AD3493" i="9"/>
  <c r="G89" i="39" a="1"/>
  <c r="AD4415" i="9"/>
  <c r="H948" i="39" a="1"/>
  <c r="C524" i="39" a="1"/>
  <c r="I185" i="39" a="1"/>
  <c r="I22" i="39" a="1"/>
  <c r="AD2996" i="9"/>
  <c r="H941" i="39" a="1"/>
  <c r="I338" i="39" a="1"/>
  <c r="AD621" i="9"/>
  <c r="E58" i="39" a="1"/>
  <c r="AD4488" i="9"/>
  <c r="G558" i="39" a="1"/>
  <c r="AD860" i="9"/>
  <c r="AD63" i="9"/>
  <c r="F193" i="39" a="1"/>
  <c r="AD818" i="9"/>
  <c r="E977" i="39" a="1"/>
  <c r="H478" i="39" a="1"/>
  <c r="AD2556" i="9"/>
  <c r="I241" i="39" a="1"/>
  <c r="D767" i="39" a="1"/>
  <c r="D894" i="39" a="1"/>
  <c r="AD1367" i="9"/>
  <c r="H765" i="39" a="1"/>
  <c r="F892" i="39" a="1"/>
  <c r="AD1856" i="9"/>
  <c r="D817" i="39" a="1"/>
  <c r="D536" i="39" a="1"/>
  <c r="AD1698" i="9"/>
  <c r="C34" i="39" a="1"/>
  <c r="AD218" i="9"/>
  <c r="C72" i="39" a="1"/>
  <c r="D411" i="39" a="1"/>
  <c r="G728" i="39" a="1"/>
  <c r="AD98" i="9"/>
  <c r="F561" i="39" a="1"/>
  <c r="I938" i="39" a="1"/>
  <c r="G132" i="39" a="1"/>
  <c r="D124" i="39" a="1"/>
  <c r="AD1457" i="9"/>
  <c r="F277" i="39" a="1"/>
  <c r="F990" i="39" a="1"/>
  <c r="I813" i="39" a="1"/>
  <c r="C440" i="39" a="1"/>
  <c r="AD344" i="9"/>
  <c r="AD3778" i="9"/>
  <c r="C449" i="39" a="1"/>
  <c r="E995" i="39" a="1"/>
  <c r="E226" i="39" a="1"/>
  <c r="AD3702" i="9"/>
  <c r="H480" i="39" a="1"/>
  <c r="AD855" i="9"/>
  <c r="H528" i="39" a="1"/>
  <c r="AD754" i="9"/>
  <c r="C549" i="39" a="1"/>
  <c r="AD1208" i="9"/>
  <c r="AD3299" i="9"/>
  <c r="AD361" i="9"/>
  <c r="F966" i="39" a="1"/>
  <c r="AD1715" i="9"/>
  <c r="AD417" i="9"/>
  <c r="E945" i="39" a="1"/>
  <c r="D695" i="39" a="1"/>
  <c r="F231" i="39" a="1"/>
  <c r="F405" i="39" a="1"/>
  <c r="H274" i="39" a="1"/>
  <c r="AD3406" i="9"/>
  <c r="AD2073" i="9"/>
  <c r="D908" i="39" a="1"/>
  <c r="E336" i="39" a="1"/>
  <c r="AD3643" i="9"/>
  <c r="AD707" i="9"/>
  <c r="E231" i="39" a="1"/>
  <c r="AD605" i="9"/>
  <c r="AD1194" i="9"/>
  <c r="D626" i="39" a="1"/>
  <c r="AD1087" i="9"/>
  <c r="AD1494" i="9"/>
  <c r="AD736" i="9"/>
  <c r="I44" i="39" a="1"/>
  <c r="AD2459" i="9"/>
  <c r="D199" i="39" a="1"/>
  <c r="D25" i="39" a="1"/>
  <c r="H459" i="39" a="1"/>
  <c r="AD577" i="9"/>
  <c r="C838" i="39" a="1"/>
  <c r="AD4480" i="9"/>
  <c r="AD4376" i="9"/>
  <c r="F696" i="39" a="1"/>
  <c r="H815" i="39" a="1"/>
  <c r="H687" i="39" a="1"/>
  <c r="AD2127" i="9"/>
  <c r="AD1098" i="9"/>
  <c r="C786" i="39" a="1"/>
  <c r="AD92" i="9"/>
  <c r="C947" i="39" a="1"/>
  <c r="D188" i="39" a="1"/>
  <c r="AD3594" i="9"/>
  <c r="AD4378" i="9"/>
  <c r="H942" i="39" a="1"/>
  <c r="I753" i="39" a="1"/>
  <c r="G12" i="6"/>
  <c r="AD3762" i="9"/>
  <c r="AD4402" i="9"/>
  <c r="AD3705" i="9"/>
  <c r="G962" i="39" a="1"/>
  <c r="D360" i="39" a="1"/>
  <c r="F644" i="39" a="1"/>
  <c r="AD3942" i="9"/>
  <c r="E244" i="39" a="1"/>
  <c r="G612" i="39" a="1"/>
  <c r="C690" i="39" a="1"/>
  <c r="H925" i="39" a="1"/>
  <c r="C150" i="39" a="1"/>
  <c r="G966" i="39" a="1"/>
  <c r="F835" i="39" a="1"/>
  <c r="I569" i="39" a="1"/>
  <c r="C363" i="39" a="1"/>
  <c r="AD1714" i="9"/>
  <c r="G796" i="39" a="1"/>
  <c r="F35" i="39" a="1"/>
  <c r="G124" i="39" a="1"/>
  <c r="AD2155" i="9"/>
  <c r="AD343" i="9"/>
  <c r="D249" i="39" a="1"/>
  <c r="I529" i="39" a="1"/>
  <c r="AD2775" i="9"/>
  <c r="H493" i="39" a="1"/>
  <c r="E240" i="39" a="1"/>
  <c r="AD3286" i="9"/>
  <c r="F933" i="39" a="1"/>
  <c r="I445" i="39" a="1"/>
  <c r="F692" i="39" a="1"/>
  <c r="F16" i="39" a="1"/>
  <c r="AD2202" i="9"/>
  <c r="AD435" i="9"/>
  <c r="AD1571" i="9"/>
  <c r="F939" i="39" a="1"/>
  <c r="F822" i="39" a="1"/>
  <c r="E595" i="39" a="1"/>
  <c r="AD4110" i="9"/>
  <c r="AD3564" i="9"/>
  <c r="AD812" i="9"/>
  <c r="AD3769" i="9"/>
  <c r="AD1720" i="9"/>
  <c r="C578" i="39" a="1"/>
  <c r="AD3912" i="9"/>
  <c r="D571" i="39" a="1"/>
  <c r="AD4247" i="9"/>
  <c r="G997" i="39" a="1"/>
  <c r="H392" i="39" a="1"/>
  <c r="F694" i="39" a="1"/>
  <c r="AD3499" i="9"/>
  <c r="AD1722" i="9"/>
  <c r="E780" i="39" a="1"/>
  <c r="AD2683" i="9"/>
  <c r="B155" i="12"/>
  <c r="H988" i="39" a="1"/>
  <c r="E810" i="39" a="1"/>
  <c r="F889" i="39" a="1"/>
  <c r="G463" i="39" a="1"/>
  <c r="I511" i="39" a="1"/>
  <c r="AD761" i="9"/>
  <c r="F426" i="39" a="1"/>
  <c r="E292" i="39" a="1"/>
  <c r="E326" i="39" a="1"/>
  <c r="F95" i="39" a="1"/>
  <c r="AD3512" i="9"/>
  <c r="AD4361" i="9"/>
  <c r="AD3092" i="9"/>
  <c r="H343" i="39" a="1"/>
  <c r="E541" i="39" a="1"/>
  <c r="I573" i="39" a="1"/>
  <c r="C57" i="39" a="1"/>
  <c r="C880" i="39" a="1"/>
  <c r="H818" i="39" a="1"/>
  <c r="AD2765" i="9"/>
  <c r="AD1813" i="9"/>
  <c r="D717" i="39" a="1"/>
  <c r="I652" i="39" a="1"/>
  <c r="AD2449" i="9"/>
  <c r="AD1034" i="9"/>
  <c r="AD227" i="9"/>
  <c r="C470" i="39" a="1"/>
  <c r="C884" i="39" a="1"/>
  <c r="H956" i="39" a="1"/>
  <c r="I183" i="39" a="1"/>
  <c r="AD1580" i="9"/>
  <c r="AD1503" i="9"/>
  <c r="AD3909" i="9"/>
  <c r="F103" i="39" a="1"/>
  <c r="C946" i="39" a="1"/>
  <c r="H186" i="39" a="1"/>
  <c r="H804" i="39" a="1"/>
  <c r="F304" i="39" a="1"/>
  <c r="E557" i="39" a="1"/>
  <c r="E620" i="39" a="1"/>
  <c r="G611" i="39" a="1"/>
  <c r="AD1118" i="9"/>
  <c r="AD2836" i="9"/>
  <c r="AD1303" i="9"/>
  <c r="C45" i="39" a="1"/>
  <c r="E997" i="39" a="1"/>
  <c r="I36" i="39" a="1"/>
  <c r="AD1803" i="9"/>
  <c r="H505" i="39" a="1"/>
  <c r="AD2650" i="9"/>
  <c r="AD292" i="9"/>
  <c r="E716" i="39" a="1"/>
  <c r="I805" i="39" a="1"/>
  <c r="AD698" i="9"/>
  <c r="G152" i="39" a="1"/>
  <c r="AD3472" i="9"/>
  <c r="G228" i="39" a="1"/>
  <c r="D141" i="39" a="1"/>
  <c r="AD1162" i="9"/>
  <c r="C448" i="39" a="1"/>
  <c r="D355" i="39" a="1"/>
  <c r="AD2558" i="9"/>
  <c r="B4" i="12"/>
  <c r="E832" i="39" a="1"/>
  <c r="I656" i="39" a="1"/>
  <c r="AD2087" i="9"/>
  <c r="G688" i="39" a="1"/>
  <c r="AD685" i="9"/>
  <c r="E923" i="39" a="1"/>
  <c r="H283" i="39" a="1"/>
  <c r="H262" i="39" a="1"/>
  <c r="H173" i="39" a="1"/>
  <c r="AD1401" i="9"/>
  <c r="D322" i="39" a="1"/>
  <c r="H315" i="39" a="1"/>
  <c r="AD107" i="9"/>
  <c r="G933" i="39" a="1"/>
  <c r="AD3824" i="9"/>
  <c r="AD3119" i="9"/>
  <c r="E688" i="39" a="1"/>
  <c r="F705" i="39" a="1"/>
  <c r="H861" i="39" a="1"/>
  <c r="AD4456" i="9"/>
  <c r="AD94" i="9"/>
  <c r="I174" i="39" a="1"/>
  <c r="AD2814" i="9"/>
  <c r="D305" i="39" a="1"/>
  <c r="AD2537" i="9"/>
  <c r="D853" i="39" a="1"/>
  <c r="E522" i="39" a="1"/>
  <c r="AD1370" i="9"/>
  <c r="C297" i="39" a="1"/>
  <c r="F42" i="39" a="1"/>
  <c r="AD2032" i="9"/>
  <c r="I768" i="39" a="1"/>
  <c r="AD2645" i="9"/>
  <c r="AD522" i="9"/>
  <c r="AD1874" i="9"/>
  <c r="D690" i="39" a="1"/>
  <c r="I584" i="39" a="1"/>
  <c r="B36" i="12"/>
  <c r="C360" i="39" a="1"/>
  <c r="F767" i="39" a="1"/>
  <c r="B172" i="12"/>
  <c r="H935" i="39" a="1"/>
  <c r="I324" i="39" a="1"/>
  <c r="F621" i="39" a="1"/>
  <c r="C65" i="39" a="1"/>
  <c r="AD1141" i="9"/>
  <c r="C1003" i="39" a="1"/>
  <c r="C624" i="39" a="1"/>
  <c r="G878" i="39" a="1"/>
  <c r="AD2874" i="9"/>
  <c r="D987" i="39" a="1"/>
  <c r="I855" i="39" a="1"/>
  <c r="AD2751" i="9"/>
  <c r="AD3533" i="9"/>
  <c r="I226" i="39" a="1"/>
  <c r="AD571" i="9"/>
  <c r="H109" i="39" a="1"/>
  <c r="I59" i="39" a="1"/>
  <c r="I832" i="39" a="1"/>
  <c r="G255" i="39" a="1"/>
  <c r="E790" i="39" a="1"/>
  <c r="D579" i="39" a="1"/>
  <c r="F602" i="39" a="1"/>
  <c r="I211" i="39" a="1"/>
  <c r="D1014" i="39" a="1"/>
  <c r="D469" i="39" a="1"/>
  <c r="AD3131" i="9"/>
  <c r="I494" i="39" a="1"/>
  <c r="F1023" i="39" a="1"/>
  <c r="I356" i="39" a="1"/>
  <c r="H453" i="39" a="1"/>
  <c r="C510" i="39" a="1"/>
  <c r="AD3002" i="9"/>
  <c r="C932" i="39" a="1"/>
  <c r="B173" i="12"/>
  <c r="AD2725" i="9"/>
  <c r="AD234" i="9"/>
  <c r="AD638" i="9"/>
  <c r="C929" i="39" a="1"/>
  <c r="F821" i="39" a="1"/>
  <c r="D213" i="39" a="1"/>
  <c r="AD2886" i="9"/>
  <c r="AD3756" i="9"/>
  <c r="F784" i="39" a="1"/>
  <c r="AD2210" i="9"/>
  <c r="E781" i="39" a="1"/>
  <c r="C185" i="39" a="1"/>
  <c r="AD3073" i="9"/>
  <c r="H934" i="39" a="1"/>
  <c r="E491" i="39" a="1"/>
  <c r="I930" i="39" a="1"/>
  <c r="AD1640" i="9"/>
  <c r="F427" i="39" a="1"/>
  <c r="D136" i="39" a="1"/>
  <c r="D978" i="39" a="1"/>
  <c r="H384" i="39" a="1"/>
  <c r="H17" i="6"/>
  <c r="AD2685" i="9"/>
  <c r="G665" i="39" a="1"/>
  <c r="AD2153" i="9"/>
  <c r="AD170" i="9"/>
  <c r="AD3297" i="9"/>
  <c r="H391" i="39" a="1"/>
  <c r="AD3953" i="9"/>
  <c r="F342" i="39" a="1"/>
  <c r="AD1332" i="9"/>
  <c r="G396" i="39" a="1"/>
  <c r="AD1143" i="9"/>
  <c r="E271" i="39" a="1"/>
  <c r="F257" i="39" a="1"/>
  <c r="C418" i="39" a="1"/>
  <c r="E848" i="39" a="1"/>
  <c r="E232" i="39" a="1"/>
  <c r="AD2044" i="9"/>
  <c r="AD4078" i="9"/>
  <c r="I220" i="39" a="1"/>
  <c r="D548" i="39" a="1"/>
  <c r="D780" i="39" a="1"/>
  <c r="G160" i="39" a="1"/>
  <c r="D731" i="39" a="1"/>
  <c r="H776" i="39" a="1"/>
  <c r="D527" i="39" a="1"/>
  <c r="H596" i="39" a="1"/>
  <c r="AD2914" i="9"/>
  <c r="H23" i="39" a="1"/>
  <c r="AD747" i="9"/>
  <c r="F400" i="39" a="1"/>
  <c r="AD804" i="9"/>
  <c r="D564" i="39" a="1"/>
  <c r="G527" i="39" a="1"/>
  <c r="AD3079" i="9"/>
  <c r="I196" i="39" a="1"/>
  <c r="AD1866" i="9"/>
  <c r="H369" i="39" a="1"/>
  <c r="H860" i="39" a="1"/>
  <c r="D363" i="39" a="1"/>
  <c r="AD4112" i="9"/>
  <c r="E545" i="39" a="1"/>
  <c r="H975" i="39" a="1"/>
  <c r="D16" i="39" a="1"/>
  <c r="AD4286" i="9"/>
  <c r="H199" i="39" a="1"/>
  <c r="AD3217" i="9"/>
  <c r="AD4436" i="9"/>
  <c r="D845" i="39" a="1"/>
  <c r="C283" i="39" a="1"/>
  <c r="AD2154" i="9"/>
  <c r="G751" i="39" a="1"/>
  <c r="AD2256" i="9"/>
  <c r="AD3076" i="9"/>
  <c r="G200" i="39" a="1"/>
  <c r="D247" i="39" a="1"/>
  <c r="AD3857" i="9"/>
  <c r="C527" i="39" a="1"/>
  <c r="E190" i="39" a="1"/>
  <c r="D472" i="39" a="1"/>
  <c r="AD3733" i="9"/>
  <c r="I110" i="39" a="1"/>
  <c r="F746" i="39" a="1"/>
  <c r="H48" i="39" a="1"/>
  <c r="E411" i="39" a="1"/>
  <c r="D486" i="39" a="1"/>
  <c r="AD738" i="9"/>
  <c r="D572" i="39" a="1"/>
  <c r="E72" i="39" a="1"/>
  <c r="I624" i="39" a="1"/>
  <c r="H987" i="39" a="1"/>
  <c r="AD10" i="9"/>
  <c r="F159" i="39" a="1"/>
  <c r="H298" i="39" a="1"/>
  <c r="D54" i="39" a="1"/>
  <c r="AD4153" i="9"/>
  <c r="I673" i="39" a="1"/>
  <c r="F997" i="39" a="1"/>
  <c r="AD942" i="9"/>
  <c r="F775" i="39" a="1"/>
  <c r="I649" i="39" a="1"/>
  <c r="E164" i="39" a="1"/>
  <c r="AD3179" i="9"/>
  <c r="AD687" i="9"/>
  <c r="AD1999" i="9"/>
  <c r="C318" i="39" a="1"/>
  <c r="D253" i="39" a="1"/>
  <c r="AD1802" i="9"/>
  <c r="AD1066" i="9"/>
  <c r="I207" i="39" a="1"/>
  <c r="E263" i="39" a="1"/>
  <c r="AD2080" i="9"/>
  <c r="F888" i="39" a="1"/>
  <c r="D418" i="39" a="1"/>
  <c r="AD2854" i="9"/>
  <c r="E860" i="39" a="1"/>
  <c r="F471" i="39" a="1"/>
  <c r="E20" i="39" a="1"/>
  <c r="C142" i="39" a="1"/>
  <c r="AD295" i="9"/>
  <c r="G729" i="39" a="1"/>
  <c r="AD1377" i="9"/>
  <c r="E1002" i="39" a="1"/>
  <c r="AD4000" i="9"/>
  <c r="I970" i="39" a="1"/>
  <c r="AD2827" i="9"/>
  <c r="I583" i="39" a="1"/>
  <c r="I884" i="39" a="1"/>
  <c r="E962" i="39" a="1"/>
  <c r="F26" i="39" a="1"/>
  <c r="B49" i="12"/>
  <c r="I74" i="39" a="1"/>
  <c r="AD948" i="9"/>
  <c r="G199" i="39" a="1"/>
  <c r="D463" i="39" a="1"/>
  <c r="AD3421" i="9"/>
  <c r="AD683" i="9"/>
  <c r="B33" i="12"/>
  <c r="C704" i="39" a="1"/>
  <c r="G164" i="39" a="1"/>
  <c r="AD3268" i="9"/>
  <c r="F631" i="39" a="1"/>
  <c r="AD2571" i="9"/>
  <c r="H211" i="39" a="1"/>
  <c r="AD3731" i="9"/>
  <c r="AD3914" i="9"/>
  <c r="E560" i="39" a="1"/>
  <c r="C174" i="39" a="1"/>
  <c r="E228" i="39" a="1"/>
  <c r="AD518" i="9"/>
  <c r="AD4474" i="9"/>
  <c r="D685" i="39" a="1"/>
  <c r="AD2756" i="9"/>
  <c r="H166" i="39" a="1"/>
  <c r="F178" i="39" a="1"/>
  <c r="E60" i="39" a="1"/>
  <c r="I240" i="39" a="1"/>
  <c r="F312" i="39" a="1"/>
  <c r="I222" i="39" a="1"/>
  <c r="H390" i="39" a="1"/>
  <c r="B74" i="12"/>
  <c r="C382" i="39" a="1"/>
  <c r="G267" i="39" a="1"/>
  <c r="F1011" i="39" a="1"/>
  <c r="AD2580" i="9"/>
  <c r="AD3373" i="9"/>
  <c r="AD4315" i="9"/>
  <c r="E261" i="39" a="1"/>
  <c r="C56" i="39" a="1"/>
  <c r="H993" i="39" a="1"/>
  <c r="AD3611" i="9"/>
  <c r="AD4029" i="9"/>
  <c r="AD694" i="9"/>
  <c r="AD3440" i="9"/>
  <c r="F161" i="39" a="1"/>
  <c r="F868" i="39" a="1"/>
  <c r="H104" i="39" a="1"/>
  <c r="G432" i="39" a="1"/>
  <c r="AD1060" i="9"/>
  <c r="F748" i="39" a="1"/>
  <c r="I950" i="39" a="1"/>
  <c r="D1016" i="39" a="1"/>
  <c r="E518" i="39" a="1"/>
  <c r="H924" i="39" a="1"/>
  <c r="AD169" i="9"/>
  <c r="AD3749" i="9"/>
  <c r="D78" i="39" a="1"/>
  <c r="D574" i="39" a="1"/>
  <c r="C138" i="39" a="1"/>
  <c r="D675" i="39" a="1"/>
  <c r="H828" i="39" a="1"/>
  <c r="G673" i="39" a="1"/>
  <c r="F18" i="39" a="1"/>
  <c r="E392" i="39" a="1"/>
  <c r="H699" i="39" a="1"/>
  <c r="AD4057" i="9"/>
  <c r="AD4063" i="9"/>
  <c r="AD4127" i="9"/>
  <c r="AD2321" i="9"/>
  <c r="AD2407" i="9"/>
  <c r="D220" i="39" a="1"/>
  <c r="AD4450" i="9"/>
  <c r="C654" i="39" a="1"/>
  <c r="G337" i="39" a="1"/>
  <c r="F74" i="39" a="1"/>
  <c r="AD823" i="9"/>
  <c r="C762" i="39" a="1"/>
  <c r="F386" i="39" a="1"/>
  <c r="D311" i="39" a="1"/>
  <c r="D256" i="39" a="1"/>
  <c r="H360" i="39" a="1"/>
  <c r="E526" i="39" a="1"/>
  <c r="AD1154" i="9"/>
  <c r="I460" i="39" a="1"/>
  <c r="H626" i="39" a="1"/>
  <c r="AD380" i="9"/>
  <c r="E438" i="39" a="1"/>
  <c r="E562" i="39" a="1"/>
  <c r="I699" i="39" a="1"/>
  <c r="AD364" i="9"/>
  <c r="C236" i="39" a="1"/>
  <c r="E966" i="39" a="1"/>
  <c r="E118" i="39" a="1"/>
  <c r="AD448" i="9"/>
  <c r="AD251" i="9"/>
  <c r="B143" i="12"/>
  <c r="AD1745" i="9"/>
  <c r="AD3811" i="9"/>
  <c r="E425" i="39" a="1"/>
  <c r="I696" i="39" a="1"/>
  <c r="H638" i="39" a="1"/>
  <c r="D184" i="39" a="1"/>
  <c r="F955" i="39" a="1"/>
  <c r="F436" i="39" a="1"/>
  <c r="AD3292" i="9"/>
  <c r="E980" i="39" a="1"/>
  <c r="F217" i="39" a="1"/>
  <c r="F860" i="39" a="1"/>
  <c r="AD1152" i="9"/>
  <c r="I133" i="39" a="1"/>
  <c r="AD2334" i="9"/>
  <c r="G583" i="39" a="1"/>
  <c r="F340" i="39" a="1"/>
  <c r="D169" i="39" a="1"/>
  <c r="AD2283" i="9"/>
  <c r="C475" i="39" a="1"/>
  <c r="C108" i="39" a="1"/>
  <c r="AD1685" i="9"/>
  <c r="I987" i="39" a="1"/>
  <c r="G865" i="39" a="1"/>
  <c r="D68" i="39" a="1"/>
  <c r="C775" i="39" a="1"/>
  <c r="E996" i="39" a="1"/>
  <c r="I694" i="39" a="1"/>
  <c r="B129" i="12"/>
  <c r="H751" i="39" a="1"/>
  <c r="G73" i="39" a="1"/>
  <c r="AD2633" i="9"/>
  <c r="AD74" i="9"/>
  <c r="AD1361" i="9"/>
  <c r="AD1607" i="9"/>
  <c r="F965" i="39" a="1"/>
  <c r="I717" i="39" a="1"/>
  <c r="AD2197" i="9"/>
  <c r="AD2092" i="9"/>
  <c r="AD3431" i="9"/>
  <c r="F896" i="39" a="1"/>
  <c r="AD731" i="9"/>
  <c r="C513" i="39" a="1"/>
  <c r="AD2675" i="9"/>
  <c r="E415" i="39" a="1"/>
  <c r="AD2081" i="9"/>
  <c r="F848" i="39" a="1"/>
  <c r="F382" i="39" a="1"/>
  <c r="AD1326" i="9"/>
  <c r="D274" i="39" a="1"/>
  <c r="C501" i="39" a="1"/>
  <c r="F932" i="39" a="1"/>
  <c r="AD1990" i="9"/>
  <c r="F735" i="39" a="1"/>
  <c r="I830" i="39" a="1"/>
  <c r="C407" i="39" a="1"/>
  <c r="F108" i="39" a="1"/>
  <c r="F144" i="39" a="1"/>
  <c r="F760" i="39" a="1"/>
  <c r="AD3631" i="9"/>
  <c r="G770" i="39" a="1"/>
  <c r="H781" i="39" a="1"/>
  <c r="AD1742" i="9"/>
  <c r="AD1944" i="9"/>
  <c r="I727" i="39" a="1"/>
  <c r="F468" i="39" a="1"/>
  <c r="AD2984" i="9"/>
  <c r="AD3819" i="9"/>
  <c r="AD52" i="9"/>
  <c r="I476" i="39" a="1"/>
  <c r="F846" i="39" a="1"/>
  <c r="H370" i="39" a="1"/>
  <c r="F944" i="39" a="1"/>
  <c r="G871" i="39" a="1"/>
  <c r="AD3881" i="9"/>
  <c r="C119" i="39" a="1"/>
  <c r="C543" i="39" a="1"/>
  <c r="I686" i="39" a="1"/>
  <c r="H1009" i="39" a="1"/>
  <c r="D991" i="39" a="1"/>
  <c r="AD708" i="9"/>
  <c r="H668" i="39" a="1"/>
  <c r="G215" i="39" a="1"/>
  <c r="E639" i="39" a="1"/>
  <c r="H565" i="39" a="1"/>
  <c r="F999" i="39" a="1"/>
  <c r="AD4446" i="9"/>
  <c r="F680" i="39" a="1"/>
  <c r="G689" i="39" a="1"/>
  <c r="C1017" i="39" a="1"/>
  <c r="AD4285" i="9"/>
  <c r="F381" i="39" a="1"/>
  <c r="AD115" i="9"/>
  <c r="D327" i="39" a="1"/>
  <c r="G178" i="39" a="1"/>
  <c r="C167" i="39" a="1"/>
  <c r="G900" i="39" a="1"/>
  <c r="H45" i="39" a="1"/>
  <c r="E441" i="39" a="1"/>
  <c r="AD428" i="9"/>
  <c r="G51" i="39" a="1"/>
  <c r="AD4464" i="9"/>
  <c r="AD3638" i="9"/>
  <c r="I981" i="39" a="1"/>
  <c r="AD892" i="9"/>
  <c r="AD3009" i="9"/>
  <c r="AD608" i="9"/>
  <c r="C955" i="39" a="1"/>
  <c r="H672" i="39" a="1"/>
  <c r="AD3420" i="9"/>
  <c r="C296" i="39" a="1"/>
  <c r="E729" i="39" a="1"/>
  <c r="E820" i="39" a="1"/>
  <c r="I309" i="39" a="1"/>
  <c r="AD2000" i="9"/>
  <c r="AD3829" i="9"/>
  <c r="AD3238" i="9"/>
  <c r="E386" i="39" a="1"/>
  <c r="AD740" i="9"/>
  <c r="I688" i="39" a="1"/>
  <c r="AD3683" i="9"/>
  <c r="I233" i="39" a="1"/>
  <c r="D804" i="39" a="1"/>
  <c r="AD4316" i="9"/>
  <c r="D280" i="39" a="1"/>
  <c r="F851" i="39" a="1"/>
  <c r="C797" i="39" a="1"/>
  <c r="G899" i="39" a="1"/>
  <c r="AD1179" i="9"/>
  <c r="D279" i="39" a="1"/>
  <c r="H114" i="39" a="1"/>
  <c r="AD4081" i="9"/>
  <c r="D270" i="39" a="1"/>
  <c r="AD1846" i="9"/>
  <c r="H423" i="39" a="1"/>
  <c r="I411" i="39" a="1"/>
  <c r="B133" i="12"/>
  <c r="AD4237" i="9"/>
  <c r="B37" i="12"/>
  <c r="AD733" i="9"/>
  <c r="H38" i="39" a="1"/>
  <c r="AD2700" i="9"/>
  <c r="F355" i="39" a="1"/>
  <c r="E918" i="39" a="1"/>
  <c r="AD3382" i="9"/>
  <c r="F67" i="39" a="1"/>
  <c r="G991" i="39" a="1"/>
  <c r="I436" i="39" a="1"/>
  <c r="AD2335" i="9"/>
  <c r="C486" i="39" a="1"/>
  <c r="AD3890" i="9"/>
  <c r="AD172" i="9"/>
  <c r="AD1661" i="9"/>
  <c r="AD4497" i="9"/>
  <c r="I157" i="39" a="1"/>
  <c r="AD882" i="9"/>
  <c r="C512" i="39" a="1"/>
  <c r="C595" i="39" a="1"/>
  <c r="E554" i="39" a="1"/>
  <c r="AD3601" i="9"/>
  <c r="AD572" i="9"/>
  <c r="AD347" i="9"/>
  <c r="D762" i="39" a="1"/>
  <c r="AD211" i="9"/>
  <c r="AD145" i="9"/>
  <c r="H475" i="39" a="1"/>
  <c r="AD456" i="9"/>
  <c r="G16" i="39" a="1"/>
  <c r="D335" i="39" a="1"/>
  <c r="B169" i="12"/>
  <c r="AD3178" i="9"/>
  <c r="AD3714" i="9"/>
  <c r="I581" i="39" a="1"/>
  <c r="AD2993" i="9"/>
  <c r="F785" i="39" a="1"/>
  <c r="F412" i="39" a="1"/>
  <c r="D641" i="39" a="1"/>
  <c r="H112" i="39" a="1"/>
  <c r="AD3183" i="9"/>
  <c r="AD558" i="9"/>
  <c r="C203" i="39" a="1"/>
  <c r="F153" i="39" a="1"/>
  <c r="E154" i="39" a="1"/>
  <c r="AD4050" i="9"/>
  <c r="AD1156" i="9"/>
  <c r="G110" i="39" a="1"/>
  <c r="F473" i="39" a="1"/>
  <c r="AD3422" i="9"/>
  <c r="AD4320" i="9"/>
  <c r="D436" i="39" a="1"/>
  <c r="C222" i="39" a="1"/>
  <c r="C228" i="39" a="1"/>
  <c r="C732" i="39" a="1"/>
  <c r="G919" i="39" a="1"/>
  <c r="AD200" i="9"/>
  <c r="AD3358" i="9"/>
  <c r="AD3289" i="9"/>
  <c r="AD2258" i="9"/>
  <c r="AD654" i="9"/>
  <c r="C945" i="39" a="1"/>
  <c r="C165" i="39" a="1"/>
  <c r="F379" i="39" a="1"/>
  <c r="D225" i="39" a="1"/>
  <c r="AD2369" i="9"/>
  <c r="E539" i="39" a="1"/>
  <c r="F783" i="39" a="1"/>
  <c r="H79" i="39" a="1"/>
  <c r="E283" i="39" a="1"/>
  <c r="AD4335" i="9"/>
  <c r="F180" i="39" a="1"/>
  <c r="E35" i="39" a="1"/>
  <c r="E951" i="39" a="1"/>
  <c r="C548" i="39" a="1"/>
  <c r="I180" i="39" a="1"/>
  <c r="AD3716" i="9"/>
  <c r="E797" i="39" a="1"/>
  <c r="C854" i="39" a="1"/>
  <c r="AD3508" i="9"/>
  <c r="C240" i="39" a="1"/>
  <c r="AD4445" i="9"/>
  <c r="AD3447" i="9"/>
  <c r="G998" i="39" a="1"/>
  <c r="AD1030" i="9"/>
  <c r="AD531" i="9"/>
  <c r="AD3910" i="9"/>
  <c r="H686" i="39" a="1"/>
  <c r="C93" i="39" a="1"/>
  <c r="AD1857" i="9"/>
  <c r="F417" i="39" a="1"/>
  <c r="E43" i="39" a="1"/>
  <c r="D869" i="39" a="1"/>
  <c r="I390" i="39" a="1"/>
  <c r="E108" i="39" a="1"/>
  <c r="AD2737" i="9"/>
  <c r="AD308" i="9"/>
  <c r="E959" i="39" a="1"/>
  <c r="AD3083" i="9"/>
  <c r="C808" i="39" a="1"/>
  <c r="E878" i="39" a="1"/>
  <c r="F89" i="39" a="1"/>
  <c r="AD3831" i="9"/>
  <c r="AD4157" i="9"/>
  <c r="AD4242" i="9"/>
  <c r="AD1487" i="9"/>
  <c r="F66" i="39" a="1"/>
  <c r="E75" i="39" a="1"/>
  <c r="AD3459" i="9"/>
  <c r="AD3800" i="9"/>
  <c r="AD1369" i="9"/>
  <c r="C298" i="39" a="1"/>
  <c r="G111" i="39" a="1"/>
  <c r="E596" i="39" a="1"/>
  <c r="H415" i="39" a="1"/>
  <c r="F99" i="39" a="1"/>
  <c r="C722" i="39" a="1"/>
  <c r="C790" i="39" a="1"/>
  <c r="AD1022" i="9"/>
  <c r="I803" i="39" a="1"/>
  <c r="AD2051" i="9"/>
  <c r="G544" i="39" a="1"/>
  <c r="C673" i="39" a="1"/>
  <c r="G259" i="39" a="1"/>
  <c r="D66" i="39" a="1"/>
  <c r="D7" i="6"/>
  <c r="D540" i="39" a="1"/>
  <c r="G490" i="39" a="1"/>
  <c r="AD3532" i="9"/>
  <c r="D448" i="39" a="1"/>
  <c r="AD1167" i="9"/>
  <c r="E785" i="39" a="1"/>
  <c r="AD398" i="9"/>
  <c r="AD1619" i="9"/>
  <c r="D120" i="39" a="1"/>
  <c r="AD1719" i="9"/>
  <c r="H485" i="39" a="1"/>
  <c r="C951" i="39" a="1"/>
  <c r="I993" i="39" a="1"/>
  <c r="AD296" i="9"/>
  <c r="AD4133" i="9"/>
  <c r="AD3441" i="9"/>
  <c r="AD1127" i="9"/>
  <c r="I152" i="39" a="1"/>
  <c r="H101" i="39" a="1"/>
  <c r="D243" i="39" a="1"/>
  <c r="AD3227" i="9"/>
  <c r="C488" i="39" a="1"/>
  <c r="AD3970" i="9"/>
  <c r="AD1082" i="9"/>
  <c r="E305" i="39" a="1"/>
  <c r="D239" i="39" a="1"/>
  <c r="F146" i="39" a="1"/>
  <c r="G873" i="39" a="1"/>
  <c r="F580" i="39" a="1"/>
  <c r="AD742" i="9"/>
  <c r="AD4058" i="9"/>
  <c r="G545" i="39" a="1"/>
  <c r="E1007" i="39" a="1"/>
  <c r="D443" i="39" a="1"/>
  <c r="AD2112" i="9"/>
  <c r="AD3344" i="9"/>
  <c r="D765" i="39" a="1"/>
  <c r="C521" i="39" a="1"/>
  <c r="AD916" i="9"/>
  <c r="E92" i="39" a="1"/>
  <c r="D56" i="39" a="1"/>
  <c r="E621" i="39" a="1"/>
  <c r="AD1819" i="9"/>
  <c r="AD2205" i="9"/>
  <c r="AD1801" i="9"/>
  <c r="AD3155" i="9"/>
  <c r="AD1950" i="9"/>
  <c r="AD504" i="9"/>
  <c r="F638" i="39" a="1"/>
  <c r="I385" i="39" a="1"/>
  <c r="AD79" i="9"/>
  <c r="E351" i="39" a="1"/>
  <c r="E417" i="39" a="1"/>
  <c r="I62" i="39" a="1"/>
  <c r="AD1689" i="9"/>
  <c r="G622" i="39" a="1"/>
  <c r="AD2959" i="9"/>
  <c r="AD2123" i="9"/>
  <c r="AD3880" i="9"/>
  <c r="AD3089" i="9"/>
  <c r="I678" i="39" a="1"/>
  <c r="AD2841" i="9"/>
  <c r="I857" i="39" a="1"/>
  <c r="I913" i="39" a="1"/>
  <c r="H473" i="39" a="1"/>
  <c r="AD4276" i="9"/>
  <c r="AD3144" i="9"/>
  <c r="E693" i="39" a="1"/>
  <c r="D156" i="39" a="1"/>
  <c r="C339" i="39" a="1"/>
  <c r="AD3410" i="9"/>
  <c r="G528" i="39" a="1"/>
  <c r="D393" i="39" a="1"/>
  <c r="D719" i="39" a="1"/>
  <c r="D594" i="39" a="1"/>
  <c r="G322" i="39" a="1"/>
  <c r="E213" i="39" a="1"/>
  <c r="AD808" i="9"/>
  <c r="AD1601" i="9"/>
  <c r="AD2997" i="9"/>
  <c r="AD2327" i="9"/>
  <c r="F781" i="39" a="1"/>
  <c r="G125" i="39" a="1"/>
  <c r="H801" i="39" a="1"/>
  <c r="AD1164" i="9"/>
  <c r="AD2410" i="9"/>
  <c r="H382" i="39" a="1"/>
  <c r="AD1748" i="9"/>
  <c r="D563" i="39" a="1"/>
  <c r="AD2868" i="9"/>
  <c r="D378" i="39" a="1"/>
  <c r="AD994" i="9"/>
  <c r="AD3220" i="9"/>
  <c r="G276" i="39" a="1"/>
  <c r="AD2312" i="9"/>
  <c r="G626" i="39" a="1"/>
  <c r="D232" i="39" a="1"/>
  <c r="B97" i="12"/>
  <c r="F104" i="39" a="1"/>
  <c r="AD1474" i="9"/>
  <c r="C77" i="39" a="1"/>
  <c r="I654" i="39" a="1"/>
  <c r="F750" i="39" a="1"/>
  <c r="AD3501" i="9"/>
  <c r="G5" i="39" a="1"/>
  <c r="AD1918" i="9"/>
  <c r="H731" i="39" a="1"/>
  <c r="I945" i="39" a="1"/>
  <c r="AD623" i="9"/>
  <c r="AD1316" i="9"/>
  <c r="F137" i="39" a="1"/>
  <c r="I800" i="39" a="1"/>
  <c r="AD3398" i="9"/>
  <c r="AD110" i="9"/>
  <c r="H135" i="39" a="1"/>
  <c r="G513" i="39" a="1"/>
  <c r="AD629" i="9"/>
  <c r="I891" i="39" a="1"/>
  <c r="G467" i="39" a="1"/>
  <c r="H233" i="39" a="1"/>
  <c r="D925" i="39" a="1"/>
  <c r="D309" i="39" a="1"/>
  <c r="I76" i="39" a="1"/>
  <c r="E97" i="39" a="1"/>
  <c r="D380" i="39" a="1"/>
  <c r="C886" i="39" a="1"/>
  <c r="AD2248" i="9"/>
  <c r="G17" i="39" a="1"/>
  <c r="D890" i="39" a="1"/>
  <c r="AD464" i="9"/>
  <c r="AD2682" i="9"/>
  <c r="F374" i="39" a="1"/>
  <c r="I215" i="39" a="1"/>
  <c r="F127" i="39" a="1"/>
  <c r="AD2423" i="9"/>
  <c r="F109" i="39" a="1"/>
  <c r="G196" i="39" a="1"/>
  <c r="D994" i="39" a="1"/>
  <c r="AD3980" i="9"/>
  <c r="AD1524" i="9"/>
  <c r="AD1610" i="9"/>
  <c r="D17" i="6"/>
  <c r="G507" i="39" a="1"/>
  <c r="H577" i="39" a="1"/>
  <c r="E157" i="39" a="1"/>
  <c r="AD1007" i="9"/>
  <c r="AD1309" i="9"/>
  <c r="C566" i="39" a="1"/>
  <c r="H213" i="39" a="1"/>
  <c r="AD1383" i="9"/>
  <c r="F737" i="39" a="1"/>
  <c r="AD709" i="9"/>
  <c r="AD4390" i="9"/>
  <c r="H271" i="39" a="1"/>
  <c r="H675" i="39" a="1"/>
  <c r="AD2918" i="9"/>
  <c r="D439" i="39" a="1"/>
  <c r="I448" i="39" a="1"/>
  <c r="AD3300" i="9"/>
  <c r="C787" i="39" a="1"/>
  <c r="AD2496" i="9"/>
  <c r="H584" i="39" a="1"/>
  <c r="C184" i="39" a="1"/>
  <c r="AD615" i="9"/>
  <c r="I880" i="39" a="1"/>
  <c r="AD4414" i="9"/>
  <c r="AD3698" i="9"/>
  <c r="AD2631" i="9"/>
  <c r="AD2253" i="9"/>
  <c r="H545" i="39" a="1"/>
  <c r="AD2581" i="9"/>
  <c r="H1018" i="39" a="1"/>
  <c r="AD2632" i="9"/>
  <c r="AD2839" i="9"/>
  <c r="AD1033" i="9"/>
  <c r="D420" i="39" a="1"/>
  <c r="AD3872" i="9"/>
  <c r="AD956" i="9"/>
  <c r="AD2401" i="9"/>
  <c r="I202" i="39" a="1"/>
  <c r="F797" i="39" a="1"/>
  <c r="AD1110" i="9"/>
  <c r="AD3437" i="9"/>
  <c r="AD16" i="9"/>
  <c r="AD3806" i="9"/>
  <c r="H595" i="39" a="1"/>
  <c r="E135" i="39" a="1"/>
  <c r="C355" i="39" a="1"/>
  <c r="AD2267" i="9"/>
  <c r="AD126" i="9"/>
  <c r="F945" i="39" a="1"/>
  <c r="G75" i="39" a="1"/>
  <c r="C681" i="39" a="1"/>
  <c r="AD3030" i="9"/>
  <c r="H436" i="39" a="1"/>
  <c r="G486" i="39" a="1"/>
  <c r="H122" i="39" a="1"/>
  <c r="AD3264" i="9"/>
  <c r="D943" i="39" a="1"/>
  <c r="C990" i="39" a="1"/>
  <c r="E433" i="39" a="1"/>
  <c r="G383" i="39" a="1"/>
  <c r="E950" i="39" a="1"/>
  <c r="H60" i="39" a="1"/>
  <c r="AD3906" i="9"/>
  <c r="AD1765" i="9"/>
  <c r="G102" i="39" a="1"/>
  <c r="AD3818" i="9"/>
  <c r="AD1734" i="9"/>
  <c r="D288" i="39" a="1"/>
  <c r="C557" i="39" a="1"/>
  <c r="H373" i="39" a="1"/>
  <c r="C465" i="39" a="1"/>
  <c r="G913" i="39" a="1"/>
  <c r="F250" i="39" a="1"/>
  <c r="F480" i="39" a="1"/>
  <c r="AD3889" i="9"/>
  <c r="E36" i="39" a="1"/>
  <c r="AD316" i="9"/>
  <c r="AD1873" i="9"/>
  <c r="G95" i="39" a="1"/>
  <c r="AD2790" i="9"/>
  <c r="AD122" i="9"/>
  <c r="AD1769" i="9"/>
  <c r="H235" i="39" a="1"/>
  <c r="H744" i="39" a="1"/>
  <c r="AD2924" i="9"/>
  <c r="AD3052" i="9"/>
  <c r="AD1489" i="9"/>
  <c r="AD1186" i="9"/>
  <c r="D734" i="39" a="1"/>
  <c r="AD4459" i="9"/>
  <c r="AD4336" i="9"/>
  <c r="D477" i="39" a="1"/>
  <c r="AD2718" i="9"/>
  <c r="F1005" i="39" a="1"/>
  <c r="C404" i="39" a="1"/>
  <c r="G540" i="39" a="1"/>
  <c r="E653" i="39" a="1"/>
  <c r="C460" i="39" a="1"/>
  <c r="C88" i="39" a="1"/>
  <c r="D236" i="39" a="1"/>
  <c r="AD2625" i="9"/>
  <c r="AD1266" i="9"/>
  <c r="E274" i="39" a="1"/>
  <c r="AD3668" i="9"/>
  <c r="I518" i="39" a="1"/>
  <c r="AD2635" i="9"/>
  <c r="AD760" i="9"/>
  <c r="H556" i="39" a="1"/>
  <c r="D164" i="39" a="1"/>
  <c r="I342" i="39" a="1"/>
  <c r="G625" i="39" a="1"/>
  <c r="D72" i="39" a="1"/>
  <c r="H130" i="39" a="1"/>
  <c r="AD941" i="9"/>
  <c r="H64" i="39" a="1"/>
  <c r="AD1210" i="9"/>
  <c r="G476" i="39" a="1"/>
  <c r="AD2173" i="9"/>
  <c r="AD176" i="9"/>
  <c r="G308" i="39" a="1"/>
  <c r="AD893" i="9"/>
  <c r="E314" i="39" a="1"/>
  <c r="AD2586" i="9"/>
  <c r="G96" i="39" a="1"/>
  <c r="B68" i="12"/>
  <c r="H407" i="39" a="1"/>
  <c r="AD1315" i="9"/>
  <c r="H855" i="39" a="1"/>
  <c r="I380" i="39" a="1"/>
  <c r="C494" i="39" a="1"/>
  <c r="C66" i="39" a="1"/>
  <c r="AD2047" i="9"/>
  <c r="E182" i="39" a="1"/>
  <c r="G370" i="39" a="1"/>
  <c r="C581" i="39" a="1"/>
  <c r="F832" i="39" a="1"/>
  <c r="E19" i="39" a="1"/>
  <c r="G115" i="39" a="1"/>
  <c r="C756" i="39" a="1"/>
  <c r="B92" i="12"/>
  <c r="I738" i="39" a="1"/>
  <c r="E468" i="39" a="1"/>
  <c r="AD1178" i="9"/>
  <c r="AD1845" i="9"/>
  <c r="AD2858" i="9"/>
  <c r="I862" i="39" a="1"/>
  <c r="AD546" i="9"/>
  <c r="C962" i="39" a="1"/>
  <c r="AD630" i="9"/>
  <c r="D550" i="39" a="1"/>
  <c r="C208" i="39" a="1"/>
  <c r="E681" i="39" a="1"/>
  <c r="C791" i="39" a="1"/>
  <c r="AD3579" i="9"/>
  <c r="AD601" i="9"/>
  <c r="D982" i="39" a="1"/>
  <c r="AD204" i="9"/>
  <c r="I687" i="39" a="1"/>
  <c r="C258" i="39" a="1"/>
  <c r="AD4491" i="9"/>
  <c r="AD535" i="9"/>
  <c r="C691" i="39" a="1"/>
  <c r="F572" i="39" a="1"/>
  <c r="C47" i="39" a="1"/>
  <c r="AD1916" i="9"/>
  <c r="D191" i="39" a="1"/>
  <c r="C288" i="39" a="1"/>
  <c r="E817" i="39" a="1"/>
  <c r="AD447" i="9"/>
  <c r="AD3021" i="9"/>
  <c r="AD3741" i="9"/>
  <c r="I493" i="39" a="1"/>
  <c r="AD4454" i="9"/>
  <c r="C132" i="39" a="1"/>
  <c r="AD3267" i="9"/>
  <c r="C738" i="39" a="1"/>
  <c r="AD3673" i="9"/>
  <c r="H362" i="39" a="1"/>
  <c r="E320" i="39" a="1"/>
  <c r="I139" i="39" a="1"/>
  <c r="D17" i="39" a="1"/>
  <c r="AD1983" i="9"/>
  <c r="G44" i="39" a="1"/>
  <c r="AD2708" i="9"/>
  <c r="G761" i="39" a="1"/>
  <c r="AD762" i="9"/>
  <c r="AD3506" i="9"/>
  <c r="F24" i="39" a="1"/>
  <c r="G433" i="39" a="1"/>
  <c r="C473" i="39" a="1"/>
  <c r="AD3086" i="9"/>
  <c r="H778" i="39" a="1"/>
  <c r="F873" i="39" a="1"/>
  <c r="E500" i="39" a="1"/>
  <c r="H623" i="39" a="1"/>
  <c r="F972" i="39" a="1"/>
  <c r="H156" i="39" a="1"/>
  <c r="AD604" i="9"/>
  <c r="AD3043" i="9"/>
  <c r="AD38" i="9"/>
  <c r="G927" i="39" a="1"/>
  <c r="AD2159" i="9"/>
  <c r="F852" i="39" a="1"/>
  <c r="AD1280" i="9"/>
  <c r="AD3556" i="9"/>
  <c r="AD2471" i="9"/>
  <c r="F516" i="39" a="1"/>
  <c r="AD4065" i="9"/>
  <c r="G592" i="39" a="1"/>
  <c r="H806" i="39" a="1"/>
  <c r="AD2374" i="9"/>
  <c r="AD1233" i="9"/>
  <c r="AD811" i="9"/>
  <c r="H488" i="39" a="1"/>
  <c r="AD1359" i="9"/>
  <c r="F420" i="39" a="1"/>
  <c r="AD1790" i="9"/>
  <c r="F823" i="39" a="1"/>
  <c r="D1018" i="39" a="1"/>
  <c r="AD3636" i="9"/>
  <c r="AD610" i="9"/>
  <c r="AD727" i="9"/>
  <c r="G695" i="39" a="1"/>
  <c r="AD2222" i="9"/>
  <c r="C503" i="39" a="1"/>
  <c r="AD365" i="9"/>
  <c r="C387" i="39" a="1"/>
  <c r="C251" i="39" a="1"/>
  <c r="B138" i="12"/>
  <c r="AD2165" i="9"/>
  <c r="H682" i="39" a="1"/>
  <c r="E14" i="39" a="1"/>
  <c r="E593" i="39" a="1"/>
  <c r="H328" i="39" a="1"/>
  <c r="F589" i="39" a="1"/>
  <c r="AD2991" i="9"/>
  <c r="I382" i="39" a="1"/>
  <c r="G344" i="39" a="1"/>
  <c r="F521" i="39" a="1"/>
  <c r="E684" i="39" a="1"/>
  <c r="AD496" i="9"/>
  <c r="AD2353" i="9"/>
  <c r="F802" i="39" a="1"/>
  <c r="AD998" i="9"/>
  <c r="C114" i="39" a="1"/>
  <c r="AD628" i="9"/>
  <c r="H946" i="39" a="1"/>
  <c r="H132" i="39" a="1"/>
  <c r="AD3120" i="9"/>
  <c r="E267" i="39" a="1"/>
  <c r="I692" i="39" a="1"/>
  <c r="E27" i="39" a="1"/>
  <c r="AD4463" i="9"/>
  <c r="C350" i="39" a="1"/>
  <c r="AD4080" i="9"/>
  <c r="AD4044" i="9"/>
  <c r="AD2040" i="9"/>
  <c r="B125" i="12"/>
  <c r="AD2938" i="9"/>
  <c r="AD556" i="9"/>
  <c r="AD2096" i="9"/>
  <c r="AD3429" i="9"/>
  <c r="AD2425" i="9"/>
  <c r="AD1065" i="9"/>
  <c r="H864" i="39" a="1"/>
  <c r="AD870" i="9"/>
  <c r="AD4025" i="9"/>
  <c r="AD3505" i="9"/>
  <c r="H647" i="39" a="1"/>
  <c r="F540" i="39" a="1"/>
  <c r="H535" i="39" a="1"/>
  <c r="D677" i="39" a="1"/>
  <c r="AD3920" i="9"/>
  <c r="AD1858" i="9"/>
  <c r="AD2584" i="9"/>
  <c r="AD3929" i="9"/>
  <c r="H61" i="39" a="1"/>
  <c r="F112" i="39" a="1"/>
  <c r="G221" i="39" a="1"/>
  <c r="E638" i="39" a="1"/>
  <c r="C161" i="39" a="1"/>
  <c r="AD2837" i="9"/>
  <c r="E304" i="39" a="1"/>
  <c r="F385" i="39" a="1"/>
  <c r="AD662" i="9"/>
  <c r="AD852" i="9"/>
  <c r="G118" i="39" a="1"/>
  <c r="AD3650" i="9"/>
  <c r="AD2789" i="9"/>
  <c r="G408" i="39" a="1"/>
  <c r="G568" i="39" a="1"/>
  <c r="AD1922" i="9"/>
  <c r="AD2713" i="9"/>
  <c r="AD2465" i="9"/>
  <c r="AD2504" i="9"/>
  <c r="I357" i="39" a="1"/>
  <c r="AD898" i="9"/>
  <c r="G920" i="39" a="1"/>
  <c r="AD3082" i="9"/>
  <c r="AD3782" i="9"/>
  <c r="AD4337" i="9"/>
  <c r="AD3033" i="9"/>
  <c r="C833" i="39" a="1"/>
  <c r="AD715" i="9"/>
  <c r="F564" i="39" a="1"/>
  <c r="B42" i="12"/>
  <c r="D877" i="39" a="1"/>
  <c r="E909" i="39" a="1"/>
  <c r="D1000" i="39" a="1"/>
  <c r="AD2888" i="9"/>
  <c r="AD3868" i="9"/>
  <c r="AD2199" i="9"/>
  <c r="G860" i="39" a="1"/>
  <c r="AD3298" i="9"/>
  <c r="E295" i="39" a="1"/>
  <c r="AD3461" i="9"/>
  <c r="D622" i="39" a="1"/>
  <c r="G427" i="39" a="1"/>
  <c r="E48" i="39" a="1"/>
  <c r="AD4412" i="9"/>
  <c r="F143" i="39" a="1"/>
  <c r="I521" i="39" a="1"/>
  <c r="C149" i="39" a="1"/>
  <c r="C940" i="39" a="1"/>
  <c r="F909" i="39" a="1"/>
  <c r="C796" i="39" a="1"/>
  <c r="AD3838" i="9"/>
  <c r="I406" i="39" a="1"/>
  <c r="H443" i="39" a="1"/>
  <c r="AD2735" i="9"/>
  <c r="AD3211" i="9"/>
  <c r="H695" i="39" a="1"/>
  <c r="G394" i="39" a="1"/>
  <c r="AD1875" i="9"/>
  <c r="AD1310" i="9"/>
  <c r="B158" i="12"/>
  <c r="AD1541" i="9"/>
  <c r="AD3032" i="9"/>
  <c r="D553" i="39" a="1"/>
  <c r="AD3027" i="9"/>
  <c r="AD1549" i="9"/>
  <c r="G305" i="39" a="1"/>
  <c r="AD3770" i="9"/>
  <c r="I353" i="39" a="1"/>
  <c r="I509" i="39" a="1"/>
  <c r="H36" i="39" a="1"/>
  <c r="D170" i="39" a="1"/>
  <c r="H791" i="39" a="1"/>
  <c r="D587" i="39" a="1"/>
  <c r="G480" i="39" a="1"/>
  <c r="H42" i="39" a="1"/>
  <c r="E234" i="39" a="1"/>
  <c r="AD4401" i="9"/>
  <c r="H264" i="39" a="1"/>
  <c r="AD2287" i="9"/>
  <c r="AD3709" i="9"/>
  <c r="AD549" i="9"/>
  <c r="AD35" i="9"/>
  <c r="E339" i="39" a="1"/>
  <c r="AD285" i="9"/>
  <c r="AD2525" i="9"/>
  <c r="AD757" i="9"/>
  <c r="H327" i="39" a="1"/>
  <c r="F206" i="39" a="1"/>
  <c r="F691" i="39" a="1"/>
  <c r="E1005" i="39" a="1"/>
  <c r="C964" i="39" a="1"/>
  <c r="C37" i="39" a="1"/>
  <c r="G113" i="39" a="1"/>
  <c r="AD925" i="9"/>
  <c r="H218" i="39" a="1"/>
  <c r="AD753" i="9"/>
  <c r="AD3837" i="9"/>
  <c r="F755" i="39" a="1"/>
  <c r="G1007" i="39" a="1"/>
  <c r="AD580" i="9"/>
  <c r="H711" i="39" a="1"/>
  <c r="D729" i="39" a="1"/>
  <c r="AD2232" i="9"/>
  <c r="C210" i="39" a="1"/>
  <c r="AD3647" i="9"/>
  <c r="H884" i="39" a="1"/>
  <c r="AD2641" i="9"/>
  <c r="F865" i="39" a="1"/>
  <c r="D693" i="39" a="1"/>
  <c r="D791" i="39" a="1"/>
  <c r="AD1123" i="9"/>
  <c r="E655" i="39" a="1"/>
  <c r="AD2247" i="9"/>
  <c r="AD57" i="9"/>
  <c r="AD1913" i="9"/>
  <c r="G960" i="39" a="1"/>
  <c r="AD2013" i="9"/>
  <c r="AD1344" i="9"/>
  <c r="H16" i="39" a="1"/>
  <c r="E795" i="39" a="1"/>
  <c r="D1012" i="39" a="1"/>
  <c r="AD1894" i="9"/>
  <c r="B117" i="12"/>
  <c r="AD872" i="9"/>
  <c r="F824" i="39" a="1"/>
  <c r="H1005" i="39" a="1"/>
  <c r="AD527" i="9"/>
  <c r="F992" i="39" a="1"/>
  <c r="AD4211" i="9"/>
  <c r="AD1353" i="9"/>
  <c r="G916" i="39" a="1"/>
  <c r="AD4076" i="9"/>
  <c r="C274" i="39" a="1"/>
  <c r="F759" i="39" a="1"/>
  <c r="AD2329" i="9"/>
  <c r="H324" i="39" a="1"/>
  <c r="AD3661" i="9"/>
  <c r="H268" i="39" a="1"/>
  <c r="I127" i="39" a="1"/>
  <c r="AD2399" i="9"/>
  <c r="AD2589" i="9"/>
  <c r="AD1699" i="9"/>
  <c r="I837" i="39" a="1"/>
  <c r="H180" i="39" a="1"/>
  <c r="I715" i="39" a="1"/>
  <c r="AD4472" i="9"/>
  <c r="C569" i="39" a="1"/>
  <c r="E648" i="39" a="1"/>
  <c r="AD3377" i="9"/>
  <c r="D792" i="39" a="1"/>
  <c r="E974" i="39" a="1"/>
  <c r="C747" i="39" a="1"/>
  <c r="AD3987" i="9"/>
  <c r="AD2319" i="9"/>
  <c r="F343" i="39" a="1"/>
  <c r="H970" i="39" a="1"/>
  <c r="D818" i="39" a="1"/>
  <c r="I135" i="39" a="1"/>
  <c r="G419" i="39" a="1"/>
  <c r="AD286" i="9"/>
  <c r="I136" i="39" a="1"/>
  <c r="E390" i="39" a="1"/>
  <c r="AD4192" i="9"/>
  <c r="E650" i="39" a="1"/>
  <c r="E738" i="39" a="1"/>
  <c r="AD453" i="9"/>
  <c r="AD4168" i="9"/>
  <c r="AD2011" i="9"/>
  <c r="D802" i="39" a="1"/>
  <c r="E10" i="39" a="1"/>
  <c r="D858" i="39" a="1"/>
  <c r="G448" i="39" a="1"/>
  <c r="C712" i="39" a="1"/>
  <c r="C291" i="39" a="1"/>
  <c r="F500" i="39" a="1"/>
  <c r="AD2691" i="9"/>
  <c r="AD2901" i="9"/>
  <c r="AD1246" i="9"/>
  <c r="G856" i="39" a="1"/>
  <c r="AD3332" i="9"/>
  <c r="AD3961" i="9"/>
  <c r="AD1925" i="9"/>
  <c r="D644" i="39" a="1"/>
  <c r="H492" i="39" a="1"/>
  <c r="G879" i="39" a="1"/>
  <c r="AD1682" i="9"/>
  <c r="E88" i="39" a="1"/>
  <c r="D217" i="39" a="1"/>
  <c r="AD3608" i="9"/>
  <c r="I206" i="39" a="1"/>
  <c r="D330" i="39" a="1"/>
  <c r="D800" i="39" a="1"/>
  <c r="AD3717" i="9"/>
  <c r="H928" i="39" a="1"/>
  <c r="AD896" i="9"/>
  <c r="E488" i="39" a="1"/>
  <c r="D806" i="39" a="1"/>
  <c r="D764" i="39" a="1"/>
  <c r="AD2130" i="9"/>
  <c r="G586" i="39" a="1"/>
  <c r="E495" i="39" a="1"/>
  <c r="B148" i="12"/>
  <c r="H720" i="39" a="1"/>
  <c r="AD3558" i="9"/>
  <c r="AD4470" i="9"/>
  <c r="AD123" i="9"/>
  <c r="AD2050" i="9"/>
  <c r="AD617" i="9"/>
  <c r="C824" i="39" a="1"/>
  <c r="H732" i="39" a="1"/>
  <c r="G1014" i="39" a="1"/>
  <c r="AD3613" i="9"/>
  <c r="AD1302" i="9"/>
  <c r="AD3161" i="9"/>
  <c r="AD2263" i="9"/>
  <c r="F293" i="39" a="1"/>
  <c r="AD3329" i="9"/>
  <c r="AD2180" i="9"/>
  <c r="AD4014" i="9"/>
  <c r="AD2388" i="9"/>
  <c r="B90" i="12"/>
  <c r="F307" i="39" a="1"/>
  <c r="G197" i="39" a="1"/>
  <c r="AD270" i="9"/>
  <c r="E9" i="39" a="1"/>
  <c r="AD3958" i="9"/>
  <c r="D815" i="39" a="1"/>
  <c r="AD773" i="9"/>
  <c r="AD423" i="9"/>
  <c r="AD4489" i="9"/>
  <c r="AD242" i="9"/>
  <c r="E906" i="39" a="1"/>
  <c r="B43" i="12"/>
  <c r="AD3773" i="9"/>
  <c r="C120" i="39" a="1"/>
  <c r="F22" i="39" a="1"/>
  <c r="E247" i="39" a="1"/>
  <c r="C403" i="39" a="1"/>
  <c r="I195" i="39" a="1"/>
  <c r="C634" i="39" a="1"/>
  <c r="G520" i="39" a="1"/>
  <c r="AD4167" i="9"/>
  <c r="AD1727" i="9"/>
  <c r="AD3725" i="9"/>
  <c r="H697" i="39" a="1"/>
  <c r="AD4180" i="9"/>
  <c r="I392" i="39" a="1"/>
  <c r="E132" i="39" a="1"/>
  <c r="AD3412" i="9"/>
  <c r="F526" i="39" a="1"/>
  <c r="AD1891" i="9"/>
  <c r="C941" i="39" a="1"/>
  <c r="AD4158" i="9"/>
  <c r="E478" i="39" a="1"/>
  <c r="AD3242" i="9"/>
  <c r="AD1249" i="9"/>
  <c r="AD511" i="9"/>
  <c r="E567" i="39" a="1"/>
  <c r="F98" i="39" a="1"/>
  <c r="H598" i="39" a="1"/>
  <c r="AD1740" i="9"/>
  <c r="G746" i="39" a="1"/>
  <c r="AD2824" i="9"/>
  <c r="H300" i="39" a="1"/>
  <c r="F730" i="39" a="1"/>
  <c r="D867" i="39" a="1"/>
  <c r="AD1248" i="9"/>
  <c r="C173" i="39" a="1"/>
  <c r="G460" i="39" a="1"/>
  <c r="C230" i="39" a="1"/>
  <c r="G535" i="39" a="1"/>
  <c r="AD290" i="9"/>
  <c r="H520" i="39" a="1"/>
  <c r="AD2846" i="9"/>
  <c r="E916" i="39" a="1"/>
  <c r="C874" i="39" a="1"/>
  <c r="F654" i="39" a="1"/>
  <c r="AD3434" i="9"/>
  <c r="F120" i="39" a="1"/>
  <c r="AD3130" i="9"/>
  <c r="AD4438" i="9"/>
  <c r="AD1180" i="9"/>
  <c r="AD2620" i="9"/>
  <c r="AD3898" i="9"/>
  <c r="G1011" i="39" a="1"/>
  <c r="D376" i="39" a="1"/>
  <c r="F520" i="39" a="1"/>
  <c r="AD991" i="9"/>
  <c r="D969" i="39" a="1"/>
  <c r="F235" i="39" a="1"/>
  <c r="H796" i="39" a="1"/>
  <c r="AD3651" i="9"/>
  <c r="AD1570" i="9"/>
  <c r="AD2792" i="9"/>
  <c r="AD2074" i="9"/>
  <c r="C845" i="39" a="1"/>
  <c r="AD2538" i="9"/>
  <c r="AD1562" i="9"/>
  <c r="AD3596" i="9"/>
  <c r="G763" i="39" a="1"/>
  <c r="F777" i="39" a="1"/>
  <c r="F569" i="39" a="1"/>
  <c r="C459" i="39" a="1"/>
  <c r="D855" i="39" a="1"/>
  <c r="AD548" i="9"/>
  <c r="D557" i="39" a="1"/>
  <c r="F847" i="39" a="1"/>
  <c r="AD3401" i="9"/>
  <c r="E919" i="39" a="1"/>
  <c r="H943" i="39" a="1"/>
  <c r="AD4201" i="9"/>
  <c r="E310" i="39" a="1"/>
  <c r="E7" i="39" a="1"/>
  <c r="AD1239" i="9"/>
  <c r="H107" i="39" a="1"/>
  <c r="I791" i="39" a="1"/>
  <c r="C870" i="39" a="1"/>
  <c r="I21" i="39" a="1"/>
  <c r="AD730" i="9"/>
  <c r="AD3901" i="9"/>
  <c r="C781" i="39" a="1"/>
  <c r="C364" i="39" a="1"/>
  <c r="C474" i="39" a="1"/>
  <c r="AD1230" i="9"/>
  <c r="C252" i="39" a="1"/>
  <c r="I895" i="39" a="1"/>
  <c r="AD3639" i="9"/>
  <c r="AD4151" i="9"/>
  <c r="AD3861" i="9"/>
  <c r="D929" i="39" a="1"/>
  <c r="C891" i="39" a="1"/>
  <c r="AD3280" i="9"/>
  <c r="AD2347" i="9"/>
  <c r="E124" i="39" a="1"/>
  <c r="E880" i="39" a="1"/>
  <c r="AD3936" i="9"/>
  <c r="AD4024" i="9"/>
  <c r="AD1354" i="9"/>
  <c r="F1019" i="39" a="1"/>
  <c r="H399" i="39" a="1"/>
  <c r="H386" i="39" a="1"/>
  <c r="AD2186" i="9"/>
  <c r="F136" i="39" a="1"/>
  <c r="AD2513" i="9"/>
  <c r="D862" i="39" a="1"/>
  <c r="I997" i="39" a="1"/>
  <c r="AD114" i="9"/>
  <c r="F978" i="39" a="1"/>
  <c r="D786" i="39" a="1"/>
  <c r="AD124" i="9"/>
  <c r="I816" i="39" a="1"/>
  <c r="D8" i="39" a="1"/>
  <c r="AD3975" i="9"/>
  <c r="G30" i="39" a="1"/>
  <c r="D400" i="39" a="1"/>
  <c r="D875" i="39" a="1"/>
  <c r="E300" i="39" a="1"/>
  <c r="I861" i="39" a="1"/>
  <c r="C90" i="39" a="1"/>
  <c r="AD499" i="9"/>
  <c r="F890" i="39" a="1"/>
  <c r="F68" i="39" a="1"/>
  <c r="H35" i="39" a="1"/>
  <c r="E422" i="39" a="1"/>
  <c r="AD4074" i="9"/>
  <c r="AD3308" i="9"/>
  <c r="G768" i="39" a="1"/>
  <c r="C286" i="39" a="1"/>
  <c r="C517" i="39" a="1"/>
  <c r="C670" i="39" a="1"/>
  <c r="E812" i="39" a="1"/>
  <c r="H620" i="39" a="1"/>
  <c r="G232" i="39" a="1"/>
  <c r="F248" i="39" a="1"/>
  <c r="F591" i="39" a="1"/>
  <c r="C682" i="39" a="1"/>
  <c r="C281" i="39" a="1"/>
  <c r="AD1243" i="9"/>
  <c r="D361" i="39" a="1"/>
  <c r="C102" i="39" a="1"/>
  <c r="D788" i="39" a="1"/>
  <c r="H708" i="39" a="1"/>
  <c r="F630" i="39" a="1"/>
  <c r="D727" i="39" a="1"/>
  <c r="G637" i="39" a="1"/>
  <c r="H52" i="39" a="1"/>
  <c r="AD4485" i="9"/>
  <c r="I148" i="39" a="1"/>
  <c r="E732" i="39" a="1"/>
  <c r="B126" i="12"/>
  <c r="AD3031" i="9"/>
  <c r="AD4430" i="9"/>
  <c r="AD1651" i="9"/>
  <c r="AD1959" i="9"/>
  <c r="E750" i="39" a="1"/>
  <c r="G640" i="39" a="1"/>
  <c r="E147" i="39" a="1"/>
  <c r="G151" i="39" a="1"/>
  <c r="E907" i="39" a="1"/>
  <c r="AD3908" i="9"/>
  <c r="B46" i="12"/>
  <c r="AD36" i="9"/>
  <c r="AD2351" i="9"/>
  <c r="AD3433" i="9"/>
  <c r="D983" i="39" a="1"/>
  <c r="C989" i="39" a="1"/>
  <c r="I420" i="39" a="1"/>
  <c r="D1023" i="39" a="1"/>
  <c r="H267" i="39" a="1"/>
  <c r="D915" i="39" a="1"/>
  <c r="AD3686" i="9"/>
  <c r="I326" i="39" a="1"/>
  <c r="I346" i="39" a="1"/>
  <c r="F302" i="39" a="1"/>
  <c r="B118" i="12"/>
  <c r="G795" i="39" a="1"/>
  <c r="AD313" i="9"/>
  <c r="C483" i="39" a="1"/>
  <c r="I730" i="39" a="1"/>
  <c r="E828" i="39" a="1"/>
  <c r="AD113" i="9"/>
  <c r="AD2957" i="9"/>
  <c r="G891" i="39" a="1"/>
  <c r="AD985" i="9"/>
  <c r="G816" i="39" a="1"/>
  <c r="G262" i="39" a="1"/>
  <c r="F6" i="39" a="1"/>
  <c r="I89" i="39" a="1"/>
  <c r="H877" i="39" a="1"/>
  <c r="AD2477" i="9"/>
  <c r="F440" i="39" a="1"/>
  <c r="E452" i="39" a="1"/>
  <c r="AD3543" i="9"/>
  <c r="C953" i="39" a="1"/>
  <c r="AD2842" i="9"/>
  <c r="D341" i="39" a="1"/>
  <c r="H572" i="39" a="1"/>
  <c r="C679" i="39" a="1"/>
  <c r="I948" i="39" a="1"/>
  <c r="AD1051" i="9"/>
  <c r="AD819" i="9"/>
  <c r="AD1917" i="9"/>
  <c r="D512" i="39" a="1"/>
  <c r="B142" i="12"/>
  <c r="AD3926" i="9"/>
  <c r="AD987" i="9"/>
  <c r="AD2316" i="9"/>
  <c r="AD555" i="9"/>
  <c r="AD2129" i="9"/>
  <c r="I291" i="39" a="1"/>
  <c r="AD843" i="9"/>
  <c r="F881" i="39" a="1"/>
  <c r="C677" i="39" a="1"/>
  <c r="D928" i="39" a="1"/>
  <c r="E397" i="39" a="1"/>
  <c r="F200" i="39" a="1"/>
  <c r="G548" i="39" a="1"/>
  <c r="H437" i="39" a="1"/>
  <c r="F125" i="39" a="1"/>
  <c r="D483" i="39" a="1"/>
  <c r="H216" i="39" a="1"/>
  <c r="AD3784" i="9"/>
  <c r="H234" i="39" a="1"/>
  <c r="I141" i="39" a="1"/>
  <c r="H383" i="39" a="1"/>
  <c r="E337" i="39" a="1"/>
  <c r="AD2315" i="9"/>
  <c r="G36" i="39" a="1"/>
  <c r="F135" i="39" a="1"/>
  <c r="AD3874" i="9"/>
  <c r="D490" i="39" a="1"/>
  <c r="AD146" i="9"/>
  <c r="AD144" i="9"/>
  <c r="H421" i="39" a="1"/>
  <c r="C183" i="39" a="1"/>
  <c r="AD289" i="9"/>
  <c r="G655" i="39" a="1"/>
  <c r="AD4159" i="9"/>
  <c r="H270" i="39" a="1"/>
  <c r="AD1825" i="9"/>
  <c r="AD2393" i="9"/>
  <c r="G799" i="39" a="1"/>
  <c r="AD4190" i="9"/>
  <c r="AD862" i="9"/>
  <c r="G59" i="39" a="1"/>
  <c r="H217" i="39" a="1"/>
  <c r="AD1656" i="9"/>
  <c r="AD4398" i="9"/>
  <c r="AD2458" i="9"/>
  <c r="AD2769" i="9"/>
  <c r="F59" i="39" a="1"/>
  <c r="E671" i="39" a="1"/>
  <c r="AD1043" i="9"/>
  <c r="I973" i="39" a="1"/>
  <c r="AD2778" i="9"/>
  <c r="AD774" i="9"/>
  <c r="F780" i="39" a="1"/>
  <c r="H529" i="39" a="1"/>
  <c r="AD4273" i="9"/>
  <c r="C977" i="39" a="1"/>
  <c r="G902" i="39" a="1"/>
  <c r="AD3036" i="9"/>
  <c r="E866" i="39" a="1"/>
  <c r="D507" i="39" a="1"/>
  <c r="AD2761" i="9"/>
  <c r="G996" i="39" a="1"/>
  <c r="F360" i="39" a="1"/>
  <c r="I243" i="39" a="1"/>
  <c r="AD1000" i="9"/>
  <c r="AD3159" i="9"/>
  <c r="AD2697" i="9"/>
  <c r="F43" i="39" a="1"/>
  <c r="I299" i="39" a="1"/>
  <c r="C814" i="39" a="1"/>
  <c r="AD34" i="9"/>
  <c r="E613" i="39" a="1"/>
  <c r="H659" i="39" a="1"/>
  <c r="G450" i="39" a="1"/>
  <c r="C777" i="39" a="1"/>
  <c r="G274" i="39" a="1"/>
  <c r="E202" i="39" a="1"/>
  <c r="E657" i="39" a="1"/>
  <c r="H34" i="39" a="1"/>
  <c r="F632" i="39" a="1"/>
  <c r="I535" i="39" a="1"/>
  <c r="AD2365" i="9"/>
  <c r="H863" i="39" a="1"/>
  <c r="C727" i="39" a="1"/>
  <c r="F113" i="39" a="1"/>
  <c r="H571" i="39" a="1"/>
  <c r="F221" i="39" a="1"/>
  <c r="C751" i="39" a="1"/>
  <c r="E489" i="39" a="1"/>
  <c r="C179" i="39" a="1"/>
  <c r="AD3128" i="9"/>
  <c r="AD3555" i="9"/>
  <c r="F49" i="39" a="1"/>
  <c r="AD1508" i="9"/>
  <c r="AD4363" i="9"/>
  <c r="D205" i="39" a="1"/>
  <c r="H767" i="39" a="1"/>
  <c r="AD1349" i="9"/>
  <c r="AD2549" i="9"/>
  <c r="D809" i="39" a="1"/>
  <c r="AD459" i="9"/>
  <c r="C312" i="39" a="1"/>
  <c r="D956" i="39" a="1"/>
  <c r="AD3198" i="9"/>
  <c r="H998" i="39" a="1"/>
  <c r="F815" i="39" a="1"/>
  <c r="AD3637" i="9"/>
  <c r="AD2302" i="9"/>
  <c r="H669" i="39" a="1"/>
  <c r="AD547" i="9"/>
  <c r="AD1914" i="9"/>
  <c r="D782" i="39" a="1"/>
  <c r="H923" i="39" a="1"/>
  <c r="D996" i="39" a="1"/>
  <c r="D839" i="39" a="1"/>
  <c r="H538" i="39" a="1"/>
  <c r="I341" i="39" a="1"/>
  <c r="E960" i="39" a="1"/>
  <c r="H4" i="39" a="1"/>
  <c r="AD3250" i="9"/>
  <c r="AD2349" i="9"/>
  <c r="AD1739" i="9"/>
  <c r="H476" i="39" a="1"/>
  <c r="G445" i="39" a="1"/>
  <c r="I642" i="39" a="1"/>
  <c r="F776" i="39" a="1"/>
  <c r="G297" i="39" a="1"/>
  <c r="AD3112" i="9"/>
  <c r="AD2721" i="9"/>
  <c r="AD1667" i="9"/>
  <c r="B62" i="12"/>
  <c r="AD4282" i="9"/>
  <c r="I274" i="39" a="1"/>
  <c r="H509" i="39" a="1"/>
  <c r="B114" i="12"/>
  <c r="AD2404" i="9"/>
  <c r="F505" i="39" a="1"/>
  <c r="AD3063" i="9"/>
  <c r="AD178" i="9"/>
  <c r="B130" i="12"/>
  <c r="AD3381" i="9"/>
  <c r="AD1582" i="9"/>
  <c r="I120" i="39" a="1"/>
  <c r="AD3263" i="9"/>
  <c r="E617" i="39" a="1"/>
  <c r="AD4109" i="9"/>
  <c r="F1004" i="39" a="1"/>
  <c r="AD3850" i="9"/>
  <c r="D976" i="39" a="1"/>
  <c r="C215" i="39" a="1"/>
  <c r="E1004" i="39" a="1"/>
  <c r="G310" i="39" a="1"/>
  <c r="D110" i="39" a="1"/>
  <c r="AD663" i="9"/>
  <c r="F478" i="39" a="1"/>
  <c r="I923" i="39" a="1"/>
  <c r="I345" i="39" a="1"/>
  <c r="AD1380" i="9"/>
  <c r="AD2385" i="9"/>
  <c r="I165" i="39" a="1"/>
  <c r="D947" i="39" a="1"/>
  <c r="F547" i="39" a="1"/>
  <c r="E191" i="39" a="1"/>
  <c r="H752" i="39" a="1"/>
  <c r="AD3654" i="9"/>
  <c r="C577" i="39" a="1"/>
  <c r="D230" i="39" a="1"/>
  <c r="AD565" i="9"/>
  <c r="AD2442" i="9"/>
  <c r="AD2497" i="9"/>
  <c r="H660" i="39" a="1"/>
  <c r="AD1191" i="9"/>
  <c r="I506" i="39" a="1"/>
  <c r="AD957" i="9"/>
  <c r="G441" i="39" a="1"/>
  <c r="AD3224" i="9"/>
  <c r="AD4077" i="9"/>
  <c r="AD4101" i="9"/>
  <c r="C582" i="39" a="1"/>
  <c r="AD3900" i="9"/>
  <c r="E867" i="39" a="1"/>
  <c r="I61" i="39" a="1"/>
  <c r="AD2599" i="9"/>
  <c r="AD2118" i="9"/>
  <c r="H432" i="39" a="1"/>
  <c r="H90" i="39" a="1"/>
  <c r="AD2720" i="9"/>
  <c r="D180" i="39" a="1"/>
  <c r="AD3681" i="9"/>
  <c r="AD424" i="9"/>
  <c r="C721" i="39" a="1"/>
  <c r="I774" i="39" a="1"/>
  <c r="AD1976" i="9"/>
  <c r="D577" i="39" a="1"/>
  <c r="H707" i="39" a="1"/>
  <c r="H205" i="39" a="1"/>
  <c r="AD735" i="9"/>
  <c r="AD307" i="9"/>
  <c r="B2" i="12"/>
  <c r="F940" i="39" a="1"/>
  <c r="G701" i="39" a="1"/>
  <c r="F363" i="39" a="1"/>
  <c r="AD1357" i="9"/>
  <c r="F762" i="39" a="1"/>
  <c r="AD1659" i="9"/>
  <c r="AD2879" i="9"/>
  <c r="D412" i="39" a="1"/>
  <c r="AD240" i="9"/>
  <c r="I841" i="39" a="1"/>
  <c r="G198" i="39" a="1"/>
  <c r="D823" i="39" a="1"/>
  <c r="B25" i="12"/>
  <c r="C550" i="39" a="1"/>
  <c r="E24" i="39" a="1"/>
  <c r="AD4154" i="9"/>
  <c r="H742" i="39" a="1"/>
  <c r="F922" i="39" a="1"/>
  <c r="AD90" i="9"/>
  <c r="AD4002" i="9"/>
  <c r="D603" i="39" a="1"/>
  <c r="AD3823" i="9"/>
  <c r="C445" i="39" a="1"/>
  <c r="C598" i="39" a="1"/>
  <c r="AD4385" i="9"/>
  <c r="AD2714" i="9"/>
  <c r="E448" i="39" a="1"/>
  <c r="C948" i="39" a="1"/>
  <c r="AD41" i="9"/>
  <c r="AD3035" i="9"/>
  <c r="AD1679" i="9"/>
  <c r="AD2049" i="9"/>
  <c r="AD2408" i="9"/>
  <c r="D647" i="39" a="1"/>
  <c r="E17" i="6"/>
  <c r="H650" i="39" a="1"/>
  <c r="AD1231" i="9"/>
  <c r="D543" i="39" a="1"/>
  <c r="I660" i="39" a="1"/>
  <c r="AD61" i="9"/>
  <c r="AD2296" i="9"/>
  <c r="AD3644" i="9"/>
  <c r="AD3854" i="9"/>
  <c r="G254" i="39" a="1"/>
  <c r="G1000" i="39" a="1"/>
  <c r="D98" i="39" a="1"/>
  <c r="I609" i="39" a="1"/>
  <c r="F938" i="39" a="1"/>
  <c r="AD2257" i="9"/>
  <c r="I3" i="39" a="1"/>
  <c r="AD3204" i="9"/>
  <c r="C931" i="39" a="1"/>
  <c r="AD1796" i="9"/>
  <c r="AD1241" i="9"/>
  <c r="AD1477" i="9"/>
  <c r="E535" i="39" a="1"/>
  <c r="AD978" i="9"/>
  <c r="H41" i="39" a="1"/>
  <c r="AD3353" i="9"/>
  <c r="G482" i="39" a="1"/>
  <c r="G271" i="39" a="1"/>
  <c r="AD2215" i="9"/>
  <c r="I84" i="39" a="1"/>
  <c r="D254" i="39" a="1"/>
  <c r="F960" i="39" a="1"/>
  <c r="I129" i="39" a="1"/>
  <c r="AD3976" i="9"/>
  <c r="D878" i="39" a="1"/>
  <c r="I588" i="39" a="1"/>
  <c r="AD908" i="9"/>
  <c r="AD1228" i="9"/>
  <c r="AD3181" i="9"/>
  <c r="AD471" i="9"/>
  <c r="G914" i="39" a="1"/>
  <c r="C663" i="39" a="1"/>
  <c r="F289" i="39" a="1"/>
  <c r="AD2352" i="9"/>
  <c r="AD2815" i="9"/>
  <c r="G915" i="39" a="1"/>
  <c r="I825" i="39" a="1"/>
  <c r="AD878" i="9"/>
  <c r="G496" i="39" a="1"/>
  <c r="E694" i="39" a="1"/>
  <c r="AD4462" i="9"/>
  <c r="AD2530" i="9"/>
  <c r="D963" i="39" a="1"/>
  <c r="G253" i="39" a="1"/>
  <c r="AD3001" i="9"/>
  <c r="AD935" i="9"/>
  <c r="AD1653" i="9"/>
  <c r="AD1695" i="9"/>
  <c r="AD1177" i="9"/>
  <c r="C1005" i="39" a="1"/>
  <c r="D821" i="39" a="1"/>
  <c r="I815" i="39" a="1"/>
  <c r="AD65" i="9"/>
  <c r="E80" i="39" a="1"/>
  <c r="I789" i="39" a="1"/>
  <c r="AD2754" i="9"/>
  <c r="AD3230" i="9"/>
  <c r="AD1292" i="9"/>
  <c r="AD3951" i="9"/>
  <c r="AD1696" i="9"/>
  <c r="AD214" i="9"/>
  <c r="E865" i="39" a="1"/>
  <c r="I773" i="39" a="1"/>
  <c r="I441" i="39" a="1"/>
  <c r="AD3525" i="9"/>
  <c r="AD866" i="9"/>
  <c r="AD2444" i="9"/>
  <c r="F393" i="39" a="1"/>
  <c r="AD374" i="9"/>
  <c r="AD1018" i="9"/>
  <c r="G342" i="39" a="1"/>
  <c r="F291" i="39" a="1"/>
  <c r="AD1307" i="9"/>
  <c r="AD1553" i="9"/>
  <c r="E616" i="39" a="1"/>
  <c r="E103" i="39" a="1"/>
  <c r="AD1157" i="9"/>
  <c r="C273" i="39" a="1"/>
  <c r="D173" i="39" a="1"/>
  <c r="AD648" i="9"/>
  <c r="B45" i="12"/>
  <c r="C333" i="39" a="1"/>
  <c r="AD673" i="9"/>
  <c r="E173" i="39" a="1"/>
  <c r="AD1538" i="9"/>
  <c r="I737" i="39" a="1"/>
  <c r="F891" i="39" a="1"/>
  <c r="H932" i="39" a="1"/>
  <c r="AD2115" i="9"/>
  <c r="AD4017" i="9"/>
  <c r="C431" i="39" a="1"/>
  <c r="B29" i="12"/>
  <c r="H957" i="39" a="1"/>
  <c r="D442" i="39" a="1"/>
  <c r="AD3171" i="9"/>
  <c r="AD394" i="9"/>
  <c r="AD162" i="9"/>
  <c r="AD1529" i="9"/>
  <c r="F798" i="39" a="1"/>
  <c r="D445" i="39" a="1"/>
  <c r="AD2897" i="9"/>
  <c r="AD4392" i="9"/>
  <c r="AD538" i="9"/>
  <c r="G209" i="39" a="1"/>
  <c r="AD457" i="9"/>
  <c r="H347" i="39" a="1"/>
  <c r="D333" i="39" a="1"/>
  <c r="G684" i="39" a="1"/>
  <c r="I70" i="39" a="1"/>
  <c r="H439" i="39" a="1"/>
  <c r="AD1593" i="9"/>
  <c r="C491" i="39" a="1"/>
  <c r="AD3028" i="9"/>
  <c r="AD1924" i="9"/>
  <c r="C844" i="39" a="1"/>
  <c r="AD2470" i="9"/>
  <c r="H959" i="39" a="1"/>
  <c r="AD1898" i="9"/>
  <c r="AD833" i="9"/>
  <c r="AD1534" i="9"/>
  <c r="AD2350" i="9"/>
  <c r="B50" i="9"/>
  <c r="F807" i="39" a="1"/>
  <c r="C837" i="39" a="1"/>
  <c r="AD2078" i="9"/>
  <c r="AD2524" i="9"/>
  <c r="AD3316" i="9"/>
  <c r="AD594" i="9"/>
  <c r="AD2678" i="9"/>
  <c r="E814" i="39" a="1"/>
  <c r="H491" i="39" a="1"/>
  <c r="E547" i="39" a="1"/>
  <c r="C741" i="39" a="1"/>
  <c r="C188" i="39" a="1"/>
  <c r="AD3606" i="9"/>
  <c r="I892" i="39" a="1"/>
  <c r="G790" i="39" a="1"/>
  <c r="G720" i="39" a="1"/>
  <c r="C51" i="39" a="1"/>
  <c r="F862" i="39" a="1"/>
  <c r="B44" i="12"/>
  <c r="AD4207" i="9"/>
  <c r="AD1169" i="9"/>
  <c r="H643" i="39" a="1"/>
  <c r="H696" i="39" a="1"/>
  <c r="AD4178" i="9"/>
  <c r="AD3037" i="9"/>
  <c r="AD3616" i="9"/>
  <c r="I457" i="39" a="1"/>
  <c r="D48" i="39" a="1"/>
  <c r="AD1263" i="9"/>
  <c r="I543" i="39" a="1"/>
  <c r="AD2616" i="9"/>
  <c r="AD4330" i="9"/>
  <c r="I10" i="39" a="1"/>
  <c r="D116" i="39" a="1"/>
  <c r="C393" i="39" a="1"/>
  <c r="H494" i="39" a="1"/>
  <c r="C982" i="39" a="1"/>
  <c r="AD95" i="9"/>
  <c r="AD924" i="9"/>
  <c r="AD1428" i="9"/>
  <c r="AD3691" i="9"/>
  <c r="C156" i="39" a="1"/>
  <c r="I629" i="39" a="1"/>
  <c r="AD1890" i="9"/>
  <c r="AD873" i="9"/>
  <c r="E733" i="39" a="1"/>
  <c r="AD2208" i="9"/>
  <c r="AD586" i="9"/>
  <c r="G570" i="39" a="1"/>
  <c r="C949" i="39" a="1"/>
  <c r="AD850" i="9"/>
  <c r="AD2391" i="9"/>
  <c r="I244" i="39" a="1"/>
  <c r="D825" i="39" a="1"/>
  <c r="I826" i="39" a="1"/>
  <c r="AD3938" i="9"/>
  <c r="E198" i="39" a="1"/>
  <c r="E196" i="39" a="1"/>
  <c r="H567" i="39" a="1"/>
  <c r="D471" i="39" a="1"/>
  <c r="G393" i="39" a="1"/>
  <c r="AD2108" i="9"/>
  <c r="AD1047" i="9"/>
  <c r="B131" i="12"/>
  <c r="F284" i="39" a="1"/>
  <c r="AD3145" i="9"/>
  <c r="AD1257" i="9"/>
  <c r="AD2451" i="9"/>
  <c r="H451" i="39" a="1"/>
  <c r="H266" i="39" a="1"/>
  <c r="E798" i="39" a="1"/>
  <c r="I771" i="39" a="1"/>
  <c r="I350" i="39" a="1"/>
  <c r="AD2286" i="9"/>
  <c r="AD3212" i="9"/>
  <c r="E513" i="39" a="1"/>
  <c r="AD4113" i="9"/>
  <c r="AD1205" i="9"/>
  <c r="H222" i="39" a="1"/>
  <c r="AD902" i="9"/>
  <c r="I238" i="39" a="1"/>
  <c r="H734" i="39" a="1"/>
  <c r="D933" i="39" a="1"/>
  <c r="E579" i="39" a="1"/>
  <c r="F88" i="39" a="1"/>
  <c r="D721" i="39" a="1"/>
  <c r="E400" i="39" a="1"/>
  <c r="C444" i="39" a="1"/>
  <c r="AD1181" i="9"/>
  <c r="C223" i="39" a="1"/>
  <c r="AD545" i="9"/>
  <c r="AD341" i="9"/>
  <c r="AD3539" i="9"/>
  <c r="D22" i="39" a="1"/>
  <c r="H592" i="39" a="1"/>
  <c r="AD1001" i="9"/>
  <c r="G697" i="39" a="1"/>
  <c r="AD2441" i="9"/>
  <c r="E419" i="39" a="1"/>
  <c r="AD4121" i="9"/>
  <c r="E473" i="39" a="1"/>
  <c r="G735" i="39" a="1"/>
  <c r="F806" i="39" a="1"/>
  <c r="H835" i="39" a="1"/>
  <c r="AD2495" i="9"/>
  <c r="AD2490" i="9"/>
  <c r="AD269" i="9"/>
  <c r="AD1190" i="9"/>
  <c r="F411" i="39" a="1"/>
  <c r="D879" i="39" a="1"/>
  <c r="D524" i="39" a="1"/>
  <c r="AD4500" i="9"/>
  <c r="C554" i="39" a="1"/>
  <c r="E863" i="39" a="1"/>
  <c r="I302" i="39" a="1"/>
  <c r="H171" i="39" a="1"/>
  <c r="AD2142" i="9"/>
  <c r="F810" i="39" a="1"/>
  <c r="H176" i="39" a="1"/>
  <c r="I446" i="39" a="1"/>
  <c r="C592" i="39" a="1"/>
  <c r="I257" i="39" a="1"/>
  <c r="F710" i="39" a="1"/>
  <c r="C134" i="39" a="1"/>
  <c r="F330" i="39" a="1"/>
  <c r="D222" i="39" a="1"/>
  <c r="E127" i="39" a="1"/>
  <c r="F975" i="39" a="1"/>
  <c r="AD1019" i="9"/>
  <c r="AD358" i="9"/>
  <c r="AD1384" i="9"/>
  <c r="AD2976" i="9"/>
  <c r="C255" i="39" a="1"/>
  <c r="AD3690" i="9"/>
  <c r="AD849" i="9"/>
  <c r="AD3236" i="9"/>
  <c r="AD3546" i="9"/>
  <c r="H944" i="39" a="1"/>
  <c r="AD1609" i="9"/>
  <c r="B14" i="12"/>
  <c r="AD181" i="9"/>
  <c r="AD281" i="9"/>
  <c r="AD4308" i="9"/>
  <c r="AD2294" i="9"/>
  <c r="AD210" i="9"/>
  <c r="C30" i="39" a="1"/>
  <c r="D735" i="39" a="1"/>
  <c r="G538" i="39" a="1"/>
  <c r="AD2336" i="9"/>
  <c r="H919" i="39" a="1"/>
  <c r="I705" i="39" a="1"/>
  <c r="AD4258" i="9"/>
  <c r="G171" i="39" a="1"/>
  <c r="E765" i="39" a="1"/>
  <c r="H617" i="39" a="1"/>
  <c r="AD1417" i="9"/>
  <c r="AD2135" i="9"/>
  <c r="AD1376" i="9"/>
  <c r="G258" i="39" a="1"/>
  <c r="AD76" i="9"/>
  <c r="I433" i="39" a="1"/>
  <c r="AD4089" i="9"/>
  <c r="C971" i="39" a="1"/>
  <c r="E455" i="39" a="1"/>
  <c r="H115" i="39" a="1"/>
  <c r="AD446" i="9"/>
  <c r="E856" i="39" a="1"/>
  <c r="E236" i="39" a="1"/>
  <c r="AD60" i="9"/>
  <c r="AD4441" i="9"/>
  <c r="G407" i="39" a="1"/>
  <c r="C922" i="39" a="1"/>
  <c r="AD1737" i="9"/>
  <c r="C800" i="39" a="1"/>
  <c r="F557" i="39" a="1"/>
  <c r="AD2414" i="9"/>
  <c r="C648" i="39" a="1"/>
  <c r="E644" i="39" a="1"/>
  <c r="F253" i="39" a="1"/>
  <c r="H780" i="39" a="1"/>
  <c r="H296" i="39" a="1"/>
  <c r="E340" i="39" a="1"/>
  <c r="H625" i="39" a="1"/>
  <c r="E353" i="39" a="1"/>
  <c r="I651" i="39" a="1"/>
  <c r="G779" i="39" a="1"/>
  <c r="AD4198" i="9"/>
  <c r="I456" i="39" a="1"/>
  <c r="H726" i="39" a="1"/>
  <c r="F434" i="39" a="1"/>
  <c r="AD1226" i="9"/>
  <c r="AD2544" i="9"/>
  <c r="H758" i="39" a="1"/>
  <c r="AD788" i="9"/>
  <c r="E553" i="39" a="1"/>
  <c r="H474" i="39" a="1"/>
  <c r="AD1318" i="9"/>
  <c r="G716" i="39" a="1"/>
  <c r="D880" i="39" a="1"/>
  <c r="AD3331" i="9"/>
  <c r="AD983" i="9"/>
  <c r="I1012" i="39" a="1"/>
  <c r="G764" i="39" a="1"/>
  <c r="AD410" i="9"/>
  <c r="E941" i="39" a="1"/>
  <c r="AD2940" i="9"/>
  <c r="H50" i="39" a="1"/>
  <c r="AD2693" i="9"/>
  <c r="AD1921" i="9"/>
  <c r="AD2148" i="9"/>
  <c r="C239" i="39" a="1"/>
  <c r="I323" i="39" a="1"/>
  <c r="AD2027" i="9"/>
  <c r="AD320" i="9"/>
  <c r="F676" i="39" a="1"/>
  <c r="F623" i="39" a="1"/>
  <c r="C341" i="39" a="1"/>
  <c r="E365" i="39" a="1"/>
  <c r="E527" i="39" a="1"/>
  <c r="G724" i="39" a="1"/>
  <c r="H418" i="39" a="1"/>
  <c r="E192" i="39" a="1"/>
  <c r="AD3614" i="9"/>
  <c r="H242" i="39" a="1"/>
  <c r="AD1791" i="9"/>
  <c r="G955" i="39" a="1"/>
  <c r="C642" i="39" a="1"/>
  <c r="C829" i="39" a="1"/>
  <c r="AD4310" i="9"/>
  <c r="AD476" i="9"/>
  <c r="AD4417" i="9"/>
  <c r="AD1724" i="9"/>
  <c r="C651" i="39" a="1"/>
  <c r="AD2760" i="9"/>
  <c r="AD3550" i="9"/>
  <c r="E505" i="39" a="1"/>
  <c r="I677" i="39" a="1"/>
  <c r="AD1936" i="9"/>
  <c r="AD3163" i="9"/>
  <c r="E510" i="39" a="1"/>
  <c r="C771" i="39" a="1"/>
  <c r="C493" i="39" a="1"/>
  <c r="E711" i="39" a="1"/>
  <c r="D272" i="39" a="1"/>
  <c r="D961" i="39" a="1"/>
  <c r="C555" i="39" a="1"/>
  <c r="E899" i="39" a="1"/>
  <c r="H793" i="39" a="1"/>
  <c r="G26" i="39" a="1"/>
  <c r="AD4155" i="9"/>
  <c r="G213" i="39" a="1"/>
  <c r="H740" i="39" a="1"/>
  <c r="AD3523" i="9"/>
  <c r="AD4232" i="9"/>
  <c r="F700" i="39" a="1"/>
  <c r="E141" i="39" a="1"/>
  <c r="I940" i="39" a="1"/>
  <c r="AD2701" i="9"/>
  <c r="D1011" i="39" a="1"/>
  <c r="AD1330" i="9"/>
  <c r="AD1556" i="9"/>
  <c r="F763" i="39" a="1"/>
  <c r="AD4389" i="9"/>
  <c r="C678" i="39" a="1"/>
  <c r="D100" i="39" a="1"/>
  <c r="H911" i="39" a="1"/>
  <c r="F4" i="39" a="1"/>
  <c r="C342" i="39" a="1"/>
  <c r="AD4020" i="9"/>
  <c r="AD2572" i="9"/>
  <c r="AD1450" i="9"/>
  <c r="F507" i="39" a="1"/>
  <c r="I343" i="39" a="1"/>
  <c r="AD1650" i="9"/>
  <c r="H282" i="39" a="1"/>
  <c r="I258" i="39" a="1"/>
  <c r="AD3314" i="9"/>
  <c r="AD2119" i="9"/>
  <c r="AD25" i="9"/>
  <c r="AD2577" i="9"/>
  <c r="AD4280" i="9"/>
  <c r="AD1818" i="9"/>
  <c r="AD3551" i="9"/>
  <c r="AD69" i="9"/>
  <c r="H257" i="39" a="1"/>
  <c r="I775" i="39" a="1"/>
  <c r="C192" i="39" a="1"/>
  <c r="H333" i="39" a="1"/>
  <c r="I438" i="39" a="1"/>
  <c r="C992" i="39" a="1"/>
  <c r="D148" i="39" a="1"/>
  <c r="I758" i="39" a="1"/>
  <c r="C836" i="39" a="1"/>
  <c r="B168" i="12"/>
  <c r="I668" i="39" a="1"/>
  <c r="AD165" i="9"/>
  <c r="AD2416" i="9"/>
  <c r="AD51" i="9"/>
  <c r="H346" i="39" a="1"/>
  <c r="AD212" i="9"/>
  <c r="B95" i="12"/>
  <c r="AD1634" i="9"/>
  <c r="H317" i="39" a="1"/>
  <c r="G491" i="39" a="1"/>
  <c r="AD3964" i="9"/>
  <c r="E403" i="39" a="1"/>
  <c r="E250" i="39" a="1"/>
  <c r="AD3589" i="9"/>
  <c r="AD93" i="9"/>
  <c r="AD198" i="9"/>
  <c r="AD3200" i="9"/>
  <c r="G620" i="39" a="1"/>
  <c r="H1022" i="39" a="1"/>
  <c r="AD1907" i="9"/>
  <c r="AD2494" i="9"/>
  <c r="C331" i="39" a="1"/>
  <c r="AD813" i="9"/>
  <c r="AD4209" i="9"/>
  <c r="F185" i="39" a="1"/>
  <c r="H357" i="39" a="1"/>
  <c r="I907" i="39" a="1"/>
  <c r="H372" i="39" a="1"/>
  <c r="G561" i="39" a="1"/>
  <c r="AD439" i="9"/>
  <c r="I946" i="39" a="1"/>
  <c r="AD2817" i="9"/>
  <c r="I434" i="39" a="1"/>
  <c r="G19" i="39" a="1"/>
  <c r="AD1005" i="9"/>
  <c r="F75" i="39" a="1"/>
  <c r="E868" i="39" a="1"/>
  <c r="D957" i="39" a="1"/>
  <c r="AD3445" i="9"/>
  <c r="AD2680" i="9"/>
  <c r="AD2742" i="9"/>
  <c r="B58" i="12"/>
  <c r="C860" i="39" a="1"/>
  <c r="E68" i="39" a="1"/>
  <c r="I834" i="39" a="1"/>
  <c r="AD2681" i="9"/>
  <c r="AD2443" i="9"/>
  <c r="F460" i="39" a="1"/>
  <c r="AD2831" i="9"/>
  <c r="C253" i="39" a="1"/>
  <c r="I556" i="39" a="1"/>
  <c r="E174" i="39" a="1"/>
  <c r="AD1029" i="9"/>
  <c r="F268" i="39" a="1"/>
  <c r="D741" i="39" a="1"/>
  <c r="E227" i="39" a="1"/>
  <c r="AD1053" i="9"/>
  <c r="I725" i="39" a="1"/>
  <c r="I143" i="39" a="1"/>
  <c r="E844" i="39" a="1"/>
  <c r="E439" i="39" a="1"/>
  <c r="D629" i="39" a="1"/>
  <c r="AD523" i="9"/>
  <c r="I459" i="39" a="1"/>
  <c r="AD2759" i="9"/>
  <c r="G229" i="39" a="1"/>
  <c r="E662" i="39" a="1"/>
  <c r="C611" i="39" a="1"/>
  <c r="AD4031" i="9"/>
  <c r="H354" i="39" a="1"/>
  <c r="D278" i="39" a="1"/>
  <c r="AD3729" i="9"/>
  <c r="AD1389" i="9"/>
  <c r="AD3169" i="9"/>
  <c r="AD674" i="9"/>
  <c r="E1001" i="39" a="1"/>
  <c r="AD1992" i="9"/>
  <c r="AD3057" i="9"/>
  <c r="AD4027" i="9"/>
  <c r="H802" i="39" a="1"/>
  <c r="C656" i="39" a="1"/>
  <c r="F866" i="39" a="1"/>
  <c r="G883" i="39" a="1"/>
  <c r="AD1972" i="9"/>
  <c r="AD1780" i="9"/>
  <c r="AD4375" i="9"/>
  <c r="AD2624" i="9"/>
  <c r="D972" i="39" a="1"/>
  <c r="AD2168" i="9"/>
  <c r="AD517" i="9"/>
  <c r="AD3593" i="9"/>
  <c r="D655" i="39" a="1"/>
  <c r="C877" i="39" a="1"/>
  <c r="AD250" i="9"/>
  <c r="D636" i="39" a="1"/>
  <c r="D728" i="39" a="1"/>
  <c r="G786" i="39" a="1"/>
  <c r="AD1581" i="9"/>
  <c r="C804" i="39" a="1"/>
  <c r="AD2629" i="9"/>
  <c r="E904" i="39" a="1"/>
  <c r="E519" i="39" a="1"/>
  <c r="H631" i="39" a="1"/>
  <c r="B120" i="12"/>
  <c r="AD1227" i="9"/>
  <c r="F367" i="39" a="1"/>
  <c r="AD4468" i="9"/>
  <c r="D1017" i="39" a="1"/>
  <c r="AD4226" i="9"/>
  <c r="G932" i="39" a="1"/>
  <c r="AD443" i="9"/>
  <c r="G898" i="39" a="1"/>
  <c r="E826" i="39" a="1"/>
  <c r="C21" i="39" a="1"/>
  <c r="H745" i="39" a="1"/>
  <c r="AD3150" i="9"/>
  <c r="C591" i="39" a="1"/>
  <c r="H125" i="39" a="1"/>
  <c r="E987" i="39" a="1"/>
  <c r="AD3352" i="9"/>
  <c r="H159" i="39" a="1"/>
  <c r="G399" i="39" a="1"/>
  <c r="AD11" i="9"/>
  <c r="AD2642" i="9"/>
  <c r="AD1491" i="9"/>
  <c r="AD2137" i="9"/>
  <c r="C499" i="39" a="1"/>
  <c r="F672" i="39" a="1"/>
  <c r="D920" i="39" a="1"/>
  <c r="AD429" i="9"/>
  <c r="AD2750" i="9"/>
  <c r="H403" i="39" a="1"/>
  <c r="AD3069" i="9"/>
  <c r="E152" i="39" a="1"/>
  <c r="AD2392" i="9"/>
  <c r="E148" i="39" a="1"/>
  <c r="AD4362" i="9"/>
  <c r="AD3848" i="9"/>
  <c r="AD39" i="9"/>
  <c r="AD1378" i="9"/>
  <c r="E552" i="39" a="1"/>
  <c r="AD288" i="9"/>
  <c r="AD2784" i="9"/>
  <c r="I835" i="39" a="1"/>
  <c r="I576" i="39" a="1"/>
  <c r="AD2493" i="9"/>
  <c r="AD1363" i="9"/>
  <c r="AD28" i="9"/>
  <c r="G268" i="39" a="1"/>
  <c r="AD3735" i="9"/>
  <c r="AD3087" i="9"/>
  <c r="C863" i="39" a="1"/>
  <c r="AD552" i="9"/>
  <c r="D528" i="39" a="1"/>
  <c r="C509" i="39" a="1"/>
  <c r="AD2043" i="9"/>
  <c r="G844" i="39" a="1"/>
  <c r="AD1847" i="9"/>
  <c r="E759" i="39" a="1"/>
  <c r="E260" i="39" a="1"/>
  <c r="G354" i="39" a="1"/>
  <c r="G639" i="39" a="1"/>
  <c r="E354" i="39" a="1"/>
  <c r="AD4440" i="9"/>
  <c r="D954" i="39" a="1"/>
  <c r="I691" i="39" a="1"/>
  <c r="AD597" i="9"/>
  <c r="C685" i="39" a="1"/>
  <c r="AD4348" i="9"/>
  <c r="E618" i="39" a="1"/>
  <c r="AD3435" i="9"/>
  <c r="AD4263" i="9"/>
  <c r="G150" i="39" a="1"/>
  <c r="AD1947" i="9"/>
  <c r="AD2097" i="9"/>
  <c r="AD3697" i="9"/>
  <c r="C888" i="39" a="1"/>
  <c r="F541" i="39" a="1"/>
  <c r="AD1339" i="9"/>
  <c r="E98" i="39" a="1"/>
  <c r="F928" i="39" a="1"/>
  <c r="E123" i="39" a="1"/>
  <c r="G803" i="39" a="1"/>
  <c r="C259" i="39" a="1"/>
  <c r="E47" i="39" a="1"/>
  <c r="AD876" i="9"/>
  <c r="E503" i="39" a="1"/>
  <c r="AD2033" i="9"/>
  <c r="AD1071" i="9"/>
  <c r="AD1527" i="9"/>
  <c r="AD1373" i="9"/>
  <c r="F163" i="39" a="1"/>
  <c r="AD1304" i="9"/>
  <c r="AD46" i="9"/>
  <c r="AD2209" i="9"/>
  <c r="AD3312" i="9"/>
  <c r="D558" i="39" a="1"/>
  <c r="AD562" i="9"/>
  <c r="AD1996" i="9"/>
  <c r="C714" i="39" a="1"/>
  <c r="F874" i="39" a="1"/>
  <c r="E659" i="39" a="1"/>
  <c r="H908" i="39" a="1"/>
  <c r="C628" i="39" a="1"/>
  <c r="AD2794" i="9"/>
  <c r="D259" i="39" a="1"/>
  <c r="I393" i="39" a="1"/>
  <c r="AD2520" i="9"/>
  <c r="H452" i="39" a="1"/>
  <c r="H820" i="39" a="1"/>
  <c r="E165" i="39" a="1"/>
  <c r="G379" i="39" a="1"/>
  <c r="I690" i="39" a="1"/>
  <c r="AD2031" i="9"/>
  <c r="B24" i="12"/>
  <c r="F345" i="39" a="1"/>
  <c r="D172" i="39" a="1"/>
  <c r="D985" i="39" a="1"/>
  <c r="I428" i="39" a="1"/>
  <c r="AD3676" i="9"/>
  <c r="AD944" i="9"/>
  <c r="C782" i="39" a="1"/>
  <c r="C482" i="39" a="1"/>
  <c r="H817" i="39" a="1"/>
  <c r="G604" i="39" a="1"/>
  <c r="C107" i="39" a="1"/>
  <c r="H424" i="39" a="1"/>
  <c r="I145" i="39" a="1"/>
  <c r="I858" i="39" a="1"/>
  <c r="AD3693" i="9"/>
  <c r="D654" i="39" a="1"/>
  <c r="AD3841" i="9"/>
  <c r="C294" i="39" a="1"/>
  <c r="G981" i="39" a="1"/>
  <c r="H621" i="39" a="1"/>
  <c r="C619" i="39" a="1"/>
  <c r="AD1173" i="9"/>
  <c r="D125" i="39" a="1"/>
  <c r="AD247" i="9"/>
  <c r="E994" i="39" a="1"/>
  <c r="AD1673" i="9"/>
  <c r="AD1975" i="9"/>
  <c r="E238" i="39" a="1"/>
  <c r="D118" i="39" a="1"/>
  <c r="H13" i="39" a="1"/>
  <c r="E335" i="39" a="1"/>
  <c r="I790" i="39" a="1"/>
  <c r="H733" i="39" a="1"/>
  <c r="G245" i="39" a="1"/>
  <c r="G745" i="39" a="1"/>
  <c r="AD3469" i="9"/>
  <c r="G296" i="39" a="1"/>
  <c r="AD1683" i="9"/>
  <c r="AD2269" i="9"/>
  <c r="G402" i="39" a="1"/>
  <c r="AD3712" i="9"/>
  <c r="E892" i="39" a="1"/>
  <c r="I454" i="39" a="1"/>
  <c r="AD3734" i="9"/>
  <c r="AD1540" i="9"/>
  <c r="AD3350" i="9"/>
  <c r="I534" i="39" a="1"/>
  <c r="AD4357" i="9"/>
  <c r="I386" i="39" a="1"/>
  <c r="AD1935" i="9"/>
  <c r="H285" i="39" a="1"/>
  <c r="AD1688" i="9"/>
  <c r="F859" i="39" a="1"/>
  <c r="D612" i="39" a="1"/>
  <c r="AD3834" i="9"/>
  <c r="G986" i="39" a="1"/>
  <c r="AD1448" i="9"/>
  <c r="AD3760" i="9"/>
  <c r="AD2763" i="9"/>
  <c r="H735" i="39" a="1"/>
  <c r="D94" i="39" a="1"/>
  <c r="AD279" i="9"/>
  <c r="E169" i="39" a="1"/>
  <c r="AD1416" i="9"/>
  <c r="C957" i="39" a="1"/>
  <c r="AD498" i="9"/>
  <c r="G946" i="39" a="1"/>
  <c r="F544" i="39" a="1"/>
  <c r="AD1827" i="9"/>
  <c r="AD1405" i="9"/>
  <c r="D382" i="39" a="1"/>
  <c r="AD3783" i="9"/>
  <c r="C944" i="39" a="1"/>
  <c r="AD3706" i="9"/>
  <c r="D339" i="39" a="1"/>
  <c r="D379" i="39" a="1"/>
  <c r="AD1129" i="9"/>
  <c r="AD3916" i="9"/>
  <c r="AD899" i="9"/>
  <c r="AD1567" i="9"/>
  <c r="AD3677" i="9"/>
  <c r="G772" i="39" a="1"/>
  <c r="AD3464" i="9"/>
  <c r="G266" i="39" a="1"/>
  <c r="C950" i="39" a="1"/>
  <c r="AD2588" i="9"/>
  <c r="AD701" i="9"/>
  <c r="AD3517" i="9"/>
  <c r="AD3426" i="9"/>
  <c r="H129" i="39" a="1"/>
  <c r="F494" i="39" a="1"/>
  <c r="H145" i="39" a="1"/>
  <c r="C379" i="39" a="1"/>
  <c r="G471" i="39" a="1"/>
  <c r="AD515" i="9"/>
  <c r="AD2540" i="9"/>
  <c r="G632" i="39" a="1"/>
  <c r="G718" i="39" a="1"/>
  <c r="AD3748" i="9"/>
  <c r="H554" i="39" a="1"/>
  <c r="AD3182" i="9"/>
  <c r="AD1577" i="9"/>
  <c r="AD4240" i="9"/>
  <c r="F477" i="39" a="1"/>
  <c r="AD3754" i="9"/>
  <c r="AD4216" i="9"/>
  <c r="AD1810" i="9"/>
  <c r="AD2150" i="9"/>
  <c r="AD1938" i="9"/>
  <c r="C425" i="39" a="1"/>
  <c r="AD377" i="9"/>
  <c r="I364" i="39" a="1"/>
  <c r="H629" i="39" a="1"/>
  <c r="F287" i="39" a="1"/>
  <c r="F754" i="39" a="1"/>
  <c r="C539" i="39" a="1"/>
  <c r="I189" i="39" a="1"/>
  <c r="G644" i="39" a="1"/>
  <c r="E502" i="39" a="1"/>
  <c r="G263" i="39" a="1"/>
  <c r="AD835" i="9"/>
  <c r="AD3847" i="9"/>
  <c r="AD2237" i="9"/>
  <c r="AD3405" i="9"/>
  <c r="AD520" i="9"/>
  <c r="I859" i="39" a="1"/>
  <c r="I779" i="39" a="1"/>
  <c r="AD2782" i="9"/>
  <c r="I94" i="39" a="1"/>
  <c r="AD2395" i="9"/>
  <c r="H756" i="39" a="1"/>
  <c r="D562" i="39" a="1"/>
  <c r="G48" i="39" a="1"/>
  <c r="I745" i="39" a="1"/>
  <c r="AD463" i="9"/>
  <c r="AD3482" i="9"/>
  <c r="C720" i="39" a="1"/>
  <c r="D632" i="39" a="1"/>
  <c r="AD2473" i="9"/>
  <c r="F913" i="39" a="1"/>
  <c r="B86" i="12"/>
  <c r="H715" i="39" a="1"/>
  <c r="E96" i="39" a="1"/>
  <c r="G664" i="39" a="1"/>
  <c r="AD2717" i="9"/>
  <c r="AD2622" i="9"/>
  <c r="G559" i="39" a="1"/>
  <c r="AD2640" i="9"/>
  <c r="F673" i="39" a="1"/>
  <c r="AD49" i="9"/>
  <c r="AD4245" i="9"/>
  <c r="C802" i="39" a="1"/>
  <c r="AD720" i="9"/>
  <c r="AD2852" i="9"/>
  <c r="AD4484" i="9"/>
  <c r="F714" i="39" a="1"/>
  <c r="E272" i="39" a="1"/>
  <c r="H352" i="39" a="1"/>
  <c r="C583" i="39" a="1"/>
  <c r="G327" i="39" a="1"/>
  <c r="D428" i="39" a="1"/>
  <c r="F184" i="39" a="1"/>
  <c r="AD1327" i="9"/>
  <c r="AD3572" i="9"/>
  <c r="E1022" i="39" a="1"/>
  <c r="G552" i="39" a="1"/>
  <c r="F1013" i="39" a="1"/>
  <c r="E406" i="39" a="1"/>
  <c r="D952" i="39" a="1"/>
  <c r="F765" i="39" a="1"/>
  <c r="AD4448" i="9"/>
  <c r="C649" i="39" a="1"/>
  <c r="C621" i="39" a="1"/>
  <c r="AD3105" i="9"/>
  <c r="G68" i="39" a="1"/>
  <c r="AD4191" i="9"/>
  <c r="F274" i="39" a="1"/>
  <c r="D749" i="39" a="1"/>
  <c r="AD2503" i="9"/>
  <c r="F230" i="39" a="1"/>
  <c r="H789" i="39" a="1"/>
  <c r="F601" i="39" a="1"/>
  <c r="AD4179" i="9"/>
  <c r="AD2124" i="9"/>
  <c r="AD3025" i="9"/>
  <c r="AD2402" i="9"/>
  <c r="F957" i="39" a="1"/>
  <c r="G674" i="39" a="1"/>
  <c r="AD1946" i="9"/>
  <c r="I760" i="39" a="1"/>
  <c r="AD228" i="9"/>
  <c r="AD1440" i="9"/>
  <c r="AD2977" i="9"/>
  <c r="AD322" i="9"/>
  <c r="AD4163" i="9"/>
  <c r="C687" i="39" a="1"/>
  <c r="E855" i="39" a="1"/>
  <c r="I297" i="39" a="1"/>
  <c r="G470" i="39" a="1"/>
  <c r="AD954" i="9"/>
  <c r="AD3468" i="9"/>
  <c r="E85" i="39" a="1"/>
  <c r="F399" i="39" a="1"/>
  <c r="C99" i="39" a="1"/>
  <c r="G93" i="39" a="1"/>
  <c r="AD467" i="9"/>
  <c r="E485" i="39" a="1"/>
  <c r="AD2816" i="9"/>
  <c r="D35" i="39" a="1"/>
  <c r="AD4290" i="9"/>
  <c r="AD4404" i="9"/>
  <c r="D26" i="39" a="1"/>
  <c r="G956" i="39" a="1"/>
  <c r="G358" i="39" a="1"/>
  <c r="AD209" i="9"/>
  <c r="E248" i="39" a="1"/>
  <c r="F457" i="39" a="1"/>
  <c r="AD2933" i="9"/>
  <c r="AD4338" i="9"/>
  <c r="AD2809" i="9"/>
  <c r="AD3979" i="9"/>
  <c r="I941" i="39" a="1"/>
  <c r="B56" i="12"/>
  <c r="AD133" i="9"/>
  <c r="AD792" i="9"/>
  <c r="B63" i="12"/>
  <c r="AD2692" i="9"/>
  <c r="D332" i="39" a="1"/>
  <c r="AD2064" i="9"/>
  <c r="H220" i="39" a="1"/>
  <c r="H7" i="6"/>
  <c r="AD2213" i="9"/>
  <c r="E990" i="39" a="1"/>
  <c r="AD4284" i="9"/>
  <c r="AD4311" i="9"/>
  <c r="E367" i="39" a="1"/>
  <c r="D892" i="39" a="1"/>
  <c r="H87" i="39" a="1"/>
  <c r="H81" i="39" a="1"/>
  <c r="AD2618" i="9"/>
  <c r="AD2757" i="9"/>
  <c r="H28" i="39" a="1"/>
  <c r="G401" i="39" a="1"/>
  <c r="E789" i="39" a="1"/>
  <c r="AD4220" i="9"/>
  <c r="AD2162" i="9"/>
  <c r="E624" i="39" a="1"/>
  <c r="B52" i="12"/>
  <c r="C290" i="39" a="1"/>
  <c r="I298" i="39" a="1"/>
  <c r="AD409" i="9"/>
  <c r="G784" i="39" a="1"/>
  <c r="H80" i="39" a="1"/>
  <c r="AD2217" i="9"/>
  <c r="F29" i="39" a="1"/>
  <c r="AD2613" i="9"/>
  <c r="AD4396" i="9"/>
  <c r="F341" i="39" a="1"/>
  <c r="C481" i="39" a="1"/>
  <c r="AD3578" i="9"/>
  <c r="AD2249" i="9"/>
  <c r="AD2346" i="9"/>
  <c r="AD3167" i="9"/>
  <c r="I373" i="39" a="1"/>
  <c r="G194" i="39" a="1"/>
  <c r="D158" i="39" a="1"/>
  <c r="B61" i="12"/>
  <c r="G186" i="39" a="1"/>
  <c r="AD190" i="9"/>
  <c r="I914" i="39" a="1"/>
  <c r="H378" i="39" a="1"/>
  <c r="C436" i="39" a="1"/>
  <c r="AD4023" i="9"/>
  <c r="AD4422" i="9"/>
  <c r="F554" i="39" a="1"/>
  <c r="E532" i="39" a="1"/>
  <c r="AD2220" i="9"/>
  <c r="F418" i="39" a="1"/>
  <c r="AD702" i="9"/>
  <c r="H637" i="39" a="1"/>
  <c r="G797" i="39" a="1"/>
  <c r="AD4471" i="9"/>
  <c r="AD383" i="9"/>
  <c r="I713" i="39" a="1"/>
  <c r="AD2740" i="9"/>
  <c r="D980" i="39" a="1"/>
  <c r="AD2071" i="9"/>
  <c r="G236" i="39" a="1"/>
  <c r="AD3254" i="9"/>
  <c r="AD1566" i="9"/>
  <c r="AD2225" i="9"/>
  <c r="E100" i="39" a="1"/>
  <c r="AD4467" i="9"/>
  <c r="AD2548" i="9"/>
  <c r="D616" i="39" a="1"/>
  <c r="AD1193" i="9"/>
  <c r="D722" i="39" a="1"/>
  <c r="I724" i="39" a="1"/>
  <c r="G557" i="39" a="1"/>
  <c r="AD2234" i="9"/>
  <c r="E873" i="39" a="1"/>
  <c r="AD487" i="9"/>
  <c r="F236" i="39" a="1"/>
  <c r="AD232" i="9"/>
  <c r="AD3187" i="9"/>
  <c r="AD2048" i="9"/>
  <c r="C69" i="39" a="1"/>
  <c r="G560" i="39" a="1"/>
  <c r="AD2919" i="9"/>
  <c r="AD1449" i="9"/>
  <c r="AD927" i="9"/>
  <c r="AD3310" i="9"/>
  <c r="G978" i="39" a="1"/>
  <c r="C514" i="39" a="1"/>
  <c r="AD2925" i="9"/>
  <c r="D201" i="39" a="1"/>
  <c r="I701" i="39" a="1"/>
  <c r="I184" i="39" a="1"/>
  <c r="F816" i="39" a="1"/>
  <c r="I956" i="39" a="1"/>
  <c r="AD807" i="9"/>
  <c r="AD631" i="9"/>
  <c r="H831" i="39" a="1"/>
  <c r="AD1816" i="9"/>
  <c r="C112" i="39" a="1"/>
  <c r="E221" i="39" a="1"/>
  <c r="AD501" i="9"/>
  <c r="AD154" i="9"/>
  <c r="C820" i="39" a="1"/>
  <c r="AD346" i="9"/>
  <c r="H936" i="39" a="1"/>
  <c r="AD3364" i="9"/>
  <c r="F1017" i="39" a="1"/>
  <c r="G903" i="39" a="1"/>
  <c r="AD3013" i="9"/>
  <c r="G533" i="39" a="1"/>
  <c r="E331" i="39" a="1"/>
  <c r="AD293" i="9"/>
  <c r="G567" i="39" a="1"/>
  <c r="AD3321" i="9"/>
  <c r="I653" i="39" a="1"/>
  <c r="AD4125" i="9"/>
  <c r="B162" i="12"/>
  <c r="AD1768" i="9"/>
  <c r="AD468" i="9"/>
  <c r="C247" i="39" a="1"/>
  <c r="AD3803" i="9"/>
  <c r="AD3102" i="9"/>
  <c r="AD4429" i="9"/>
  <c r="AD816" i="9"/>
  <c r="AD2146" i="9"/>
  <c r="G723" i="39" a="1"/>
  <c r="B149" i="12"/>
  <c r="AD221" i="9"/>
  <c r="C643" i="39" a="1"/>
  <c r="AD4314" i="9"/>
  <c r="AD3752" i="9"/>
  <c r="C515" i="39" a="1"/>
  <c r="B141" i="12"/>
  <c r="H320" i="39" a="1"/>
  <c r="C81" i="39" a="1"/>
  <c r="E278" i="39" a="1"/>
  <c r="F838" i="39" a="1"/>
  <c r="H10" i="39" a="1"/>
  <c r="H455" i="39" a="1"/>
  <c r="I766" i="39" a="1"/>
  <c r="AD1712" i="9"/>
  <c r="H585" i="39" a="1"/>
  <c r="H653" i="39" a="1"/>
  <c r="C266" i="39" a="1"/>
  <c r="G777" i="39" a="1"/>
  <c r="AD4041" i="9"/>
  <c r="F352" i="39" a="1"/>
  <c r="F314" i="39" a="1"/>
  <c r="AD2913" i="9"/>
  <c r="H844" i="39" a="1"/>
  <c r="G86" i="39" a="1"/>
  <c r="AD193" i="9"/>
  <c r="AD3376" i="9"/>
  <c r="AD2317" i="9"/>
  <c r="AD3022" i="9"/>
  <c r="AD1615" i="9"/>
  <c r="E634" i="39" a="1"/>
  <c r="E764" i="39" a="1"/>
  <c r="AD561" i="9"/>
  <c r="G252" i="39" a="1"/>
  <c r="F947" i="39" a="1"/>
  <c r="AD458" i="9"/>
  <c r="AD2342" i="9"/>
  <c r="D609" i="39" a="1"/>
  <c r="AD613" i="9"/>
  <c r="H150" i="39" a="1"/>
  <c r="F814" i="39" a="1"/>
  <c r="AD3524" i="9"/>
  <c r="AD3000" i="9"/>
  <c r="E890" i="39" a="1"/>
  <c r="F177" i="39" a="1"/>
  <c r="C33" i="39" a="1"/>
  <c r="F648" i="39" a="1"/>
  <c r="AD570" i="9"/>
  <c r="AD1793" i="9"/>
  <c r="H59" i="39" a="1"/>
  <c r="AD2098" i="9"/>
  <c r="AD29" i="9"/>
  <c r="H510" i="39" a="1"/>
  <c r="I586" i="39" a="1"/>
  <c r="I388" i="39" a="1"/>
  <c r="D338" i="39" a="1"/>
  <c r="AD598" i="9"/>
  <c r="AD2389" i="9"/>
  <c r="AD1442" i="9"/>
  <c r="AD2673" i="9"/>
  <c r="AD382" i="9"/>
  <c r="AD1483" i="9"/>
  <c r="AD4117" i="9"/>
  <c r="AD1684" i="9"/>
  <c r="C326" i="39" a="1"/>
  <c r="AD1325" i="9"/>
  <c r="F758" i="39" a="1"/>
  <c r="H121" i="39" a="1"/>
  <c r="D927" i="39" a="1"/>
  <c r="AD332" i="9"/>
  <c r="I242" i="39" a="1"/>
  <c r="AD2515" i="9"/>
  <c r="F55" i="39" a="1"/>
  <c r="B64" i="12"/>
  <c r="AD3176" i="9"/>
  <c r="AD2320" i="9"/>
  <c r="AD834" i="9"/>
  <c r="AD4204" i="9"/>
  <c r="D909" i="39" a="1"/>
  <c r="AD4428" i="9"/>
  <c r="E986" i="39" a="1"/>
  <c r="AD1212" i="9"/>
  <c r="AD3738" i="9"/>
  <c r="G41" i="39" a="1"/>
  <c r="AD1340" i="9"/>
  <c r="AD1636" i="9"/>
  <c r="AD3047" i="9"/>
  <c r="AD2500" i="9"/>
  <c r="D210" i="39" a="1"/>
  <c r="I263" i="39" a="1"/>
  <c r="I329" i="39" a="1"/>
  <c r="AD2770" i="9"/>
  <c r="G862" i="39" a="1"/>
  <c r="G756" i="39" a="1"/>
  <c r="D2" i="39" a="1"/>
  <c r="AD397" i="9"/>
  <c r="AD2875" i="9"/>
  <c r="D1010" i="39" a="1"/>
  <c r="AD861" i="9"/>
  <c r="D185" i="39" a="1"/>
  <c r="AD4132" i="9"/>
  <c r="E276" i="39" a="1"/>
  <c r="AD1643" i="9"/>
  <c r="AD257" i="9"/>
  <c r="E249" i="39" a="1"/>
  <c r="AD2508" i="9"/>
  <c r="G992" i="39" a="1"/>
  <c r="AD2820" i="9"/>
  <c r="AD442" i="9"/>
  <c r="AD1217" i="9"/>
  <c r="AD3530" i="9"/>
  <c r="AD465" i="9"/>
  <c r="AD3285" i="9"/>
  <c r="AD3781" i="9"/>
  <c r="AD1236" i="9"/>
  <c r="AD3203" i="9"/>
  <c r="AD1766" i="9"/>
  <c r="H880" i="39" a="1"/>
  <c r="H202" i="39" a="1"/>
  <c r="AD1400" i="9"/>
  <c r="AD3739" i="9"/>
  <c r="AD2972" i="9"/>
  <c r="I355" i="39" a="1"/>
  <c r="I623" i="39" a="1"/>
  <c r="F308" i="39" a="1"/>
  <c r="H808" i="39" a="1"/>
  <c r="AD3165" i="9"/>
  <c r="AD2883" i="9"/>
  <c r="AD3408" i="9"/>
  <c r="G952" i="39" a="1"/>
  <c r="C662" i="39" a="1"/>
  <c r="G782" i="39" a="1"/>
  <c r="AD4369" i="9"/>
  <c r="D835" i="39" a="1"/>
  <c r="C750" i="39" a="1"/>
  <c r="E652" i="39" a="1"/>
  <c r="AD231" i="9"/>
  <c r="D891" i="39" a="1"/>
  <c r="I983" i="39" a="1"/>
  <c r="C913" i="39" a="1"/>
  <c r="H651" i="39" a="1"/>
  <c r="AD1291" i="9"/>
  <c r="E172" i="39" a="1"/>
  <c r="D466" i="39" a="1"/>
  <c r="C75" i="39" a="1"/>
  <c r="AD710" i="9"/>
  <c r="D718" i="39" a="1"/>
  <c r="C684" i="39" a="1"/>
  <c r="AD1807" i="9"/>
  <c r="H541" i="39" a="1"/>
  <c r="F419" i="39" a="1"/>
  <c r="I142" i="39" a="1"/>
  <c r="AD455" i="9"/>
  <c r="H692" i="39" a="1"/>
  <c r="G173" i="39" a="1"/>
  <c r="I16" i="39" a="1"/>
  <c r="AD4260" i="9"/>
  <c r="I9" i="39" a="1"/>
  <c r="AD3849" i="9"/>
  <c r="AD1206" i="9"/>
  <c r="AD4108" i="9"/>
  <c r="I447" i="39" a="1"/>
  <c r="AD3402" i="9"/>
  <c r="AD3810" i="9"/>
  <c r="I461" i="39" a="1"/>
  <c r="E768" i="39" a="1"/>
  <c r="AD2020" i="9"/>
  <c r="AD1586" i="9"/>
  <c r="E163" i="39" a="1"/>
  <c r="AD2111" i="9"/>
  <c r="I762" i="39" a="1"/>
  <c r="AD3261" i="9"/>
  <c r="G681" i="39" a="1"/>
  <c r="D971" i="39" a="1"/>
  <c r="AD3283" i="9"/>
  <c r="I320" i="39" a="1"/>
  <c r="H636" i="39" a="1"/>
  <c r="C199" i="39" a="1"/>
  <c r="AD802" i="9"/>
  <c r="AD1277" i="9"/>
  <c r="F201" i="39" a="1"/>
  <c r="AD2528" i="9"/>
  <c r="AD1273" i="9"/>
  <c r="AD2905" i="9"/>
  <c r="AD2102" i="9"/>
  <c r="E760" i="39" a="1"/>
  <c r="C815" i="39" a="1"/>
  <c r="H532" i="39" a="1"/>
  <c r="G387" i="39" a="1"/>
  <c r="H869" i="39" a="1"/>
  <c r="AD3480" i="9"/>
  <c r="C211" i="39" a="1"/>
  <c r="AD4083" i="9"/>
  <c r="C202" i="39" a="1"/>
  <c r="E576" i="39" a="1"/>
  <c r="D359" i="39" a="1"/>
  <c r="F779" i="39" a="1"/>
  <c r="AD3017" i="9"/>
  <c r="I612" i="39" a="1"/>
  <c r="H858" i="39" a="1"/>
  <c r="AD3266" i="9"/>
  <c r="AD2988" i="9"/>
  <c r="F238" i="39" a="1"/>
  <c r="F447" i="39" a="1"/>
  <c r="AD223" i="9"/>
  <c r="AD1386" i="9"/>
  <c r="AD741" i="9"/>
  <c r="AD645" i="9"/>
  <c r="I882" i="39" a="1"/>
  <c r="AD2699" i="9"/>
  <c r="AD2973" i="9"/>
  <c r="I305" i="39" a="1"/>
  <c r="G616" i="39" a="1"/>
  <c r="AD482" i="9"/>
  <c r="AD4011" i="9"/>
  <c r="AD3199" i="9"/>
  <c r="AD2866" i="9"/>
  <c r="C299" i="39" a="1"/>
  <c r="AD711" i="9"/>
  <c r="AD1341" i="9"/>
  <c r="I804" i="39" a="1"/>
  <c r="D648" i="39" a="1"/>
  <c r="I1018" i="39" a="1"/>
  <c r="C937" i="39" a="1"/>
  <c r="AD632" i="9"/>
  <c r="AD3675" i="9"/>
  <c r="AD2036" i="9"/>
  <c r="AD1500" i="9"/>
  <c r="B115" i="12"/>
  <c r="H640" i="39" a="1"/>
  <c r="F679" i="39" a="1"/>
  <c r="C882" i="39" a="1"/>
  <c r="AD2463" i="9"/>
  <c r="H614" i="39" a="1"/>
  <c r="AD1138" i="9"/>
  <c r="G501" i="39" a="1"/>
  <c r="AD4496" i="9"/>
  <c r="AD764" i="9"/>
  <c r="AD918" i="9"/>
  <c r="F298" i="39" a="1"/>
  <c r="I104" i="39" a="1"/>
  <c r="H1002" i="39" a="1"/>
  <c r="AD2059" i="9"/>
  <c r="AD2511" i="9"/>
  <c r="G233" i="39" a="1"/>
  <c r="I606" i="39" a="1"/>
  <c r="AD2623" i="9"/>
  <c r="F721" i="39" a="1"/>
  <c r="AD1681" i="9"/>
  <c r="F97" i="39" a="1"/>
  <c r="AD2755" i="9"/>
  <c r="C853" i="39" a="1"/>
  <c r="H777" i="39" a="1"/>
  <c r="G487" i="39" a="1"/>
  <c r="AD1797" i="9"/>
  <c r="C180" i="39" a="1"/>
  <c r="AD2887" i="9"/>
  <c r="C375" i="39" a="1"/>
  <c r="I903" i="39" a="1"/>
  <c r="G624" i="39" a="1"/>
  <c r="C280" i="39" a="1"/>
  <c r="I990" i="39" a="1"/>
  <c r="AD2001" i="9"/>
  <c r="C606" i="39" a="1"/>
  <c r="I901" i="39" a="1"/>
  <c r="AD2440" i="9"/>
  <c r="AD3764" i="9"/>
  <c r="AD4219" i="9"/>
  <c r="F634" i="39" a="1"/>
  <c r="AD180" i="9"/>
  <c r="AD2715" i="9"/>
  <c r="AD1945" i="9"/>
  <c r="G964" i="39" a="1"/>
  <c r="AD3206" i="9"/>
  <c r="AD1533" i="9"/>
  <c r="H512" i="39" a="1"/>
  <c r="H364" i="39" a="1"/>
  <c r="AD3633" i="9"/>
  <c r="C172" i="39" a="1"/>
  <c r="G909" i="39" a="1"/>
  <c r="F370" i="39" a="1"/>
  <c r="AD3843" i="9"/>
  <c r="AD352" i="9"/>
  <c r="I682" i="39" a="1"/>
  <c r="I214" i="39" a="1"/>
  <c r="AD3511" i="9"/>
  <c r="AD3982" i="9"/>
  <c r="E821" i="39" a="1"/>
  <c r="AD3363" i="9"/>
  <c r="E630" i="39" a="1"/>
  <c r="F264" i="39" a="1"/>
  <c r="F921" i="39" a="1"/>
  <c r="F301" i="39" a="1"/>
  <c r="AD2187" i="9"/>
  <c r="AD1453" i="9"/>
  <c r="G277" i="39" a="1"/>
  <c r="AD148" i="9"/>
  <c r="C70" i="39" a="1"/>
  <c r="D901" i="39" a="1"/>
  <c r="AD1465" i="9"/>
  <c r="AD2292" i="9"/>
  <c r="G732" i="39" a="1"/>
  <c r="I784" i="39" a="1"/>
  <c r="AD2250" i="9"/>
  <c r="AD3751" i="9"/>
  <c r="AD3888" i="9"/>
  <c r="H248" i="39" a="1"/>
  <c r="C68" i="39" a="1"/>
  <c r="AD1218" i="9"/>
  <c r="AD1822" i="9"/>
  <c r="AD393" i="9"/>
  <c r="AD4042" i="9"/>
  <c r="D606" i="39" a="1"/>
  <c r="E215" i="39" a="1"/>
  <c r="E1024" i="39" a="1"/>
  <c r="H458" i="39" a="1"/>
  <c r="AD3998" i="9"/>
  <c r="E44" i="39" a="1"/>
  <c r="AD3590" i="9"/>
  <c r="F989" i="39" a="1"/>
  <c r="G373" i="39" a="1"/>
  <c r="D244" i="39" a="1"/>
  <c r="AD4432" i="9"/>
  <c r="H1014" i="39" a="1"/>
  <c r="AD4194" i="9"/>
  <c r="E835" i="39" a="1"/>
  <c r="G833" i="39" a="1"/>
  <c r="H579" i="39" a="1"/>
  <c r="AD416" i="9"/>
  <c r="E325" i="39" a="1"/>
  <c r="E245" i="39" a="1"/>
  <c r="G775" i="39" a="1"/>
  <c r="H557" i="39" a="1"/>
  <c r="AD3917" i="9"/>
  <c r="AD2568" i="9"/>
  <c r="I674" i="39" a="1"/>
  <c r="AD2427" i="9"/>
  <c r="AD1614" i="9"/>
  <c r="H759" i="39" a="1"/>
  <c r="AD3174" i="9"/>
  <c r="D871" i="39" a="1"/>
  <c r="D290" i="39" a="1"/>
  <c r="E914" i="39" a="1"/>
  <c r="G279" i="39" a="1"/>
  <c r="C484" i="39" a="1"/>
  <c r="F410" i="39" a="1"/>
  <c r="H955" i="39" a="1"/>
  <c r="AD2560" i="9"/>
  <c r="H833" i="39" a="1"/>
  <c r="AD790" i="9"/>
  <c r="AD3454" i="9"/>
  <c r="AD3775" i="9"/>
  <c r="AD2175" i="9"/>
  <c r="C44" i="39" a="1"/>
  <c r="AD2733" i="9"/>
  <c r="H582" i="39" a="1"/>
  <c r="G382" i="39" a="1"/>
  <c r="C23" i="39" a="1"/>
  <c r="AD2564" i="9"/>
  <c r="I902" i="39" a="1"/>
  <c r="AD2341" i="9"/>
  <c r="E67" i="39" a="1"/>
  <c r="G54" i="39" a="1"/>
  <c r="C523" i="39" a="1"/>
  <c r="C697" i="39" a="1"/>
  <c r="I479" i="39" a="1"/>
  <c r="D7" i="39" a="1"/>
  <c r="AD13" i="9"/>
  <c r="E543" i="39" a="1"/>
  <c r="F614" i="39" a="1"/>
  <c r="AD726" i="9"/>
  <c r="H1016" i="39" a="1"/>
  <c r="C702" i="39" a="1"/>
  <c r="AD3164" i="9"/>
  <c r="E796" i="39" a="1"/>
  <c r="C59" i="39" a="1"/>
  <c r="B77" i="12"/>
  <c r="AD3581" i="9"/>
  <c r="AD1322" i="9"/>
  <c r="AD2532" i="9"/>
  <c r="AD2534" i="9"/>
  <c r="G511" i="39" a="1"/>
  <c r="G820" i="39" a="1"/>
  <c r="D349" i="39" a="1"/>
  <c r="AD1905" i="9"/>
  <c r="AD3718" i="9"/>
  <c r="I695" i="39" a="1"/>
  <c r="E965" i="39" a="1"/>
  <c r="AD4028" i="9"/>
  <c r="AD1365" i="9"/>
  <c r="D545" i="39" a="1"/>
  <c r="AD4317" i="9"/>
  <c r="AD4460" i="9"/>
  <c r="AD3135" i="9"/>
  <c r="I372" i="39" a="1"/>
  <c r="E23" i="39" a="1"/>
  <c r="AD1184" i="9"/>
  <c r="D775" i="39" a="1"/>
  <c r="AD174" i="9"/>
  <c r="H98" i="39" a="1"/>
  <c r="AD2332" i="9"/>
  <c r="D474" i="39" a="1"/>
  <c r="F618" i="39" a="1"/>
  <c r="AD3648" i="9"/>
  <c r="D950" i="39" a="1"/>
  <c r="E642" i="39" a="1"/>
  <c r="G945" i="39" a="1"/>
  <c r="F349" i="39" a="1"/>
  <c r="F616" i="39" a="1"/>
  <c r="D689" i="39" a="1"/>
  <c r="G214" i="39" a="1"/>
  <c r="H96" i="39" a="1"/>
  <c r="I565" i="39" a="1"/>
  <c r="H56" i="39" a="1"/>
  <c r="I122" i="39" a="1"/>
  <c r="D561" i="39" a="1"/>
  <c r="AD940" i="9"/>
  <c r="H84" i="39" a="1"/>
  <c r="AD885" i="9"/>
  <c r="E1023" i="39" a="1"/>
  <c r="AD682" i="9"/>
  <c r="AD215" i="9"/>
  <c r="H886" i="39" a="1"/>
  <c r="AD216" i="9"/>
  <c r="D499" i="39" a="1"/>
  <c r="G176" i="39" a="1"/>
  <c r="AD58" i="9"/>
  <c r="C879" i="39" a="1"/>
  <c r="C429" i="39" a="1"/>
  <c r="G918" i="39" a="1"/>
  <c r="AD2671" i="9"/>
  <c r="AD2046" i="9"/>
  <c r="AD1604" i="9"/>
  <c r="D61" i="39" a="1"/>
  <c r="E799" i="39" a="1"/>
  <c r="H810" i="39" a="1"/>
  <c r="AD1957" i="9"/>
  <c r="AD3804" i="9"/>
  <c r="AD625" i="9"/>
  <c r="E982" i="39" a="1"/>
  <c r="G785" i="39" a="1"/>
  <c r="AD489" i="9"/>
  <c r="C480" i="39" a="1"/>
  <c r="AD1708" i="9"/>
  <c r="B57" i="12"/>
  <c r="G278" i="39" a="1"/>
  <c r="AD839" i="9"/>
  <c r="E703" i="39" a="1"/>
  <c r="F833" i="39" a="1"/>
  <c r="AD3746" i="9"/>
  <c r="C321" i="39" a="1"/>
  <c r="AD445" i="9"/>
  <c r="AD3561" i="9"/>
  <c r="AD444" i="9"/>
  <c r="I417" i="39" a="1"/>
  <c r="AD287" i="9"/>
  <c r="D850" i="39" a="1"/>
  <c r="AD4427" i="9"/>
  <c r="AD3239" i="9"/>
  <c r="F880" i="39" a="1"/>
  <c r="AD1048" i="9"/>
  <c r="I842" i="39" a="1"/>
  <c r="I144" i="39" a="1"/>
  <c r="F449" i="39" a="1"/>
  <c r="F565" i="39" a="1"/>
  <c r="C52" i="39" a="1"/>
  <c r="AD2985" i="9"/>
  <c r="F323" i="39" a="1"/>
  <c r="AD4248" i="9"/>
  <c r="C454" i="39" a="1"/>
  <c r="C141" i="39" a="1"/>
  <c r="C271" i="39" a="1"/>
  <c r="C378" i="39" a="1"/>
  <c r="C176" i="39" a="1"/>
  <c r="F640" i="39" a="1"/>
  <c r="AD325" i="9"/>
  <c r="AD693" i="9"/>
  <c r="AD1114" i="9"/>
  <c r="AD2801" i="9"/>
  <c r="C622" i="39" a="1"/>
  <c r="G222" i="39" a="1"/>
  <c r="C446" i="39" a="1"/>
  <c r="B122" i="12"/>
  <c r="AD771" i="9"/>
  <c r="H856" i="39" a="1"/>
  <c r="F573" i="39" a="1"/>
  <c r="AD2363" i="9"/>
  <c r="AD3662" i="9"/>
  <c r="G180" i="39" a="1"/>
  <c r="E220" i="39" a="1"/>
  <c r="H499" i="39" a="1"/>
  <c r="H258" i="39" a="1"/>
  <c r="AD2061" i="9"/>
  <c r="AD3495" i="9"/>
  <c r="AD1886" i="9"/>
  <c r="AD4079" i="9"/>
  <c r="G330" i="39" a="1"/>
  <c r="AD2698" i="9"/>
  <c r="AD1542" i="9"/>
  <c r="AD3701" i="9"/>
  <c r="AD3689" i="9"/>
  <c r="AD187" i="9"/>
  <c r="AD1151" i="9"/>
  <c r="AD44" i="9"/>
  <c r="I888" i="39" a="1"/>
  <c r="AD838" i="9"/>
  <c r="AD297" i="9"/>
  <c r="G481" i="39" a="1"/>
  <c r="AD2619" i="9"/>
  <c r="F925" i="39" a="1"/>
  <c r="I689" i="39" a="1"/>
  <c r="AD3541" i="9"/>
  <c r="AD905" i="9"/>
  <c r="AD4252" i="9"/>
  <c r="I58" i="39" a="1"/>
  <c r="I608" i="39" a="1"/>
  <c r="D977" i="39" a="1"/>
  <c r="F83" i="39" a="1"/>
  <c r="D482" i="39" a="1"/>
  <c r="AD2694" i="9"/>
  <c r="AD739" i="9"/>
  <c r="AD793" i="9"/>
  <c r="D432" i="39" a="1"/>
  <c r="AD3565" i="9"/>
  <c r="G130" i="39" a="1"/>
  <c r="AD2028" i="9"/>
  <c r="AD97" i="9"/>
  <c r="G990" i="39" a="1"/>
  <c r="G572" i="39" a="1"/>
  <c r="AD3744" i="9"/>
  <c r="AD837" i="9"/>
  <c r="E663" i="39" a="1"/>
  <c r="F827" i="39" a="1"/>
  <c r="H338" i="39" a="1"/>
  <c r="I577" i="39" a="1"/>
  <c r="AD4008" i="9"/>
  <c r="AD602" i="9"/>
  <c r="D415" i="39" a="1"/>
  <c r="G911" i="39" a="1"/>
  <c r="D262" i="39" a="1"/>
  <c r="AD799" i="9"/>
  <c r="AD1929" i="9"/>
  <c r="H172" i="39" a="1"/>
  <c r="C73" i="39" a="1"/>
  <c r="F73" i="39" a="1"/>
  <c r="AD339" i="9"/>
  <c r="C502" i="39" a="1"/>
  <c r="AD3387" i="9"/>
  <c r="E194" i="39" a="1"/>
  <c r="F575" i="39" a="1"/>
  <c r="F229" i="39" a="1"/>
  <c r="AD4006" i="9"/>
  <c r="AD2657" i="9"/>
  <c r="AD3584" i="9"/>
  <c r="E573" i="39" a="1"/>
  <c r="AD1468" i="9"/>
  <c r="I785" i="39" a="1"/>
  <c r="D650" i="39" a="1"/>
  <c r="AD127" i="9"/>
  <c r="H131" i="39" a="1"/>
  <c r="AD3526" i="9"/>
  <c r="AD3395" i="9"/>
  <c r="AD3808" i="9"/>
  <c r="AD427" i="9"/>
  <c r="C892" i="39" a="1"/>
  <c r="AD3652" i="9"/>
  <c r="E256" i="39" a="1"/>
  <c r="AD2518" i="9"/>
  <c r="AD1741" i="9"/>
  <c r="C757" i="39" a="1"/>
  <c r="AD411" i="9"/>
  <c r="F28" i="39" a="1"/>
  <c r="E259" i="39" a="1"/>
  <c r="H874" i="39" a="1"/>
  <c r="D841" i="39" a="1"/>
  <c r="AD2310" i="9"/>
  <c r="AD666" i="9"/>
  <c r="I716" i="39" a="1"/>
  <c r="H204" i="39" a="1"/>
  <c r="AD3453" i="9"/>
  <c r="AD4241" i="9"/>
  <c r="AD387" i="9"/>
  <c r="E813" i="39" a="1"/>
  <c r="D666" i="39" a="1"/>
  <c r="I96" i="39" a="1"/>
  <c r="E985" i="39" a="1"/>
  <c r="AD1142" i="9"/>
  <c r="H377" i="39" a="1"/>
  <c r="AD3093" i="9"/>
  <c r="AD3792" i="9"/>
  <c r="AD3133" i="9"/>
  <c r="AD2950" i="9"/>
  <c r="AD273" i="9"/>
  <c r="AD2255" i="9"/>
  <c r="AD2573" i="9"/>
  <c r="I452" i="39" a="1"/>
  <c r="F106" i="39" a="1"/>
  <c r="H191" i="39" a="1"/>
  <c r="I527" i="39" a="1"/>
  <c r="AD1287" i="9"/>
  <c r="AD196" i="9"/>
  <c r="I306" i="39" a="1"/>
  <c r="AD4359" i="9"/>
  <c r="AD1646" i="9"/>
  <c r="G517" i="39" a="1"/>
  <c r="H374" i="39" a="1"/>
  <c r="AD2114" i="9"/>
  <c r="F791" i="39" a="1"/>
  <c r="H178" i="39" a="1"/>
  <c r="C753" i="39" a="1"/>
  <c r="AD4294" i="9"/>
  <c r="AD140" i="9"/>
  <c r="AD3780" i="9"/>
  <c r="AD2314" i="9"/>
  <c r="D724" i="39" a="1"/>
  <c r="AD1436" i="9"/>
  <c r="AD4393" i="9"/>
  <c r="H516" i="39" a="1"/>
  <c r="AD4501" i="9"/>
  <c r="C636" i="39" a="1"/>
  <c r="D560" i="39" a="1"/>
  <c r="AD3085" i="9"/>
  <c r="AD4350" i="9"/>
  <c r="H422" i="39" a="1"/>
  <c r="I218" i="39" a="1"/>
  <c r="I794" i="39" a="1"/>
  <c r="G972" i="39" a="1"/>
  <c r="E598" i="39" a="1"/>
  <c r="AD1589" i="9"/>
  <c r="AD2405" i="9"/>
  <c r="AD3053" i="9"/>
  <c r="F1009" i="39" a="1"/>
  <c r="H263" i="39" a="1"/>
  <c r="C328" i="39" a="1"/>
  <c r="AD253" i="9"/>
  <c r="AD1153" i="9"/>
  <c r="AD1546" i="9"/>
  <c r="H912" i="39" a="1"/>
  <c r="AD2551" i="9"/>
  <c r="AD3470" i="9"/>
  <c r="C930" i="39" a="1"/>
  <c r="H259" i="39" a="1"/>
  <c r="I746" i="39" a="1"/>
  <c r="D438" i="39" a="1"/>
  <c r="AD1923" i="9"/>
  <c r="D509" i="39" a="1"/>
  <c r="AD4355" i="9"/>
  <c r="AD1192" i="9"/>
  <c r="AD1352" i="9"/>
  <c r="AD3490" i="9"/>
  <c r="D672" i="39" a="1"/>
  <c r="G447" i="39" a="1"/>
  <c r="AD1789" i="9"/>
  <c r="AD3836" i="9"/>
  <c r="G767" i="39" a="1"/>
  <c r="D826" i="39" a="1"/>
  <c r="AD1510" i="9"/>
  <c r="I255" i="39" a="1"/>
  <c r="AD3394" i="9"/>
  <c r="AD2660" i="9"/>
  <c r="C453" i="39" a="1"/>
  <c r="AD772" i="9"/>
  <c r="AD2583" i="9"/>
  <c r="AD3168" i="9"/>
  <c r="E605" i="39" a="1"/>
  <c r="AD2592" i="9"/>
  <c r="I886" i="39" a="1"/>
  <c r="I349" i="39" a="1"/>
  <c r="I130" i="39" a="1"/>
  <c r="F916" i="39" a="1"/>
  <c r="AD2929" i="9"/>
  <c r="E802" i="39" a="1"/>
  <c r="I50" i="39" a="1"/>
  <c r="AD497" i="9"/>
  <c r="H1015" i="39" a="1"/>
  <c r="H94" i="39" a="1"/>
  <c r="AD280" i="9"/>
  <c r="AD454" i="9"/>
  <c r="AD350" i="9"/>
  <c r="AD1346" i="9"/>
  <c r="C914" i="39" a="1"/>
  <c r="F702" i="39" a="1"/>
  <c r="C993" i="39" a="1"/>
  <c r="AD4228" i="9"/>
  <c r="G942" i="39" a="1"/>
  <c r="F545" i="39" a="1"/>
  <c r="H800" i="39" a="1"/>
  <c r="AD1090" i="9"/>
  <c r="G158" i="39" a="1"/>
  <c r="D130" i="39" a="1"/>
  <c r="AD3815" i="9"/>
  <c r="AD1550" i="9"/>
  <c r="AD1895" i="9"/>
  <c r="G936" i="39" a="1"/>
  <c r="AD875" i="9"/>
  <c r="AD86" i="9"/>
  <c r="AD3859" i="9"/>
  <c r="AD195" i="9"/>
  <c r="AD4010" i="9"/>
  <c r="D282" i="39" a="1"/>
  <c r="H899" i="39" a="1"/>
  <c r="AD3259" i="9"/>
  <c r="F658" i="39" a="1"/>
  <c r="AD3186" i="9"/>
  <c r="G875" i="39" a="1"/>
  <c r="I982" i="39" a="1"/>
  <c r="F12" i="39" a="1"/>
  <c r="E1000" i="39" a="1"/>
  <c r="F21" i="39" a="1"/>
  <c r="AD557" i="9"/>
  <c r="AD4394" i="9"/>
  <c r="D365" i="39" a="1"/>
  <c r="C367" i="39" a="1"/>
  <c r="C862" i="39" a="1"/>
  <c r="E145" i="39" a="1"/>
  <c r="AD1978" i="9"/>
  <c r="E104" i="39" a="1"/>
  <c r="AD219" i="9"/>
  <c r="AD2266" i="9"/>
  <c r="F875" i="39" a="1"/>
  <c r="C629" i="39" a="1"/>
  <c r="AD2435" i="9"/>
  <c r="AD3432" i="9"/>
  <c r="AD3061" i="9"/>
  <c r="AD3141" i="9"/>
  <c r="AD3341" i="9"/>
  <c r="D103" i="39" a="1"/>
  <c r="AD1458" i="9"/>
  <c r="AD945" i="9"/>
  <c r="F736" i="39" a="1"/>
  <c r="AD2185" i="9"/>
  <c r="G207" i="39" a="1"/>
  <c r="H224" i="39" a="1"/>
  <c r="C617" i="39" a="1"/>
  <c r="AD1535" i="9"/>
  <c r="AD118" i="9"/>
  <c r="AD3722" i="9"/>
  <c r="I850" i="39" a="1"/>
  <c r="I146" i="39" a="1"/>
  <c r="AD1020" i="9"/>
  <c r="B10" i="12"/>
  <c r="C915" i="39" a="1"/>
  <c r="AD600" i="9"/>
  <c r="C319" i="39" a="1"/>
  <c r="AD2275" i="9"/>
  <c r="AD89" i="9"/>
  <c r="AD452" i="9"/>
  <c r="AD1903" i="9"/>
  <c r="AD2430" i="9"/>
  <c r="AD4268" i="9"/>
  <c r="AD1418" i="9"/>
  <c r="AD1943" i="9"/>
  <c r="C706" i="39" a="1"/>
  <c r="AD4275" i="9"/>
  <c r="I846" i="39" a="1"/>
  <c r="C711" i="39" a="1"/>
  <c r="AD3873" i="9"/>
  <c r="AD1112" i="9"/>
  <c r="D246" i="39" a="1"/>
  <c r="F753" i="39" a="1"/>
  <c r="AD1014" i="9"/>
  <c r="D92" i="39" a="1"/>
  <c r="E352" i="39" a="1"/>
  <c r="B12" i="12"/>
  <c r="H75" i="39" a="1"/>
  <c r="AD2523" i="9"/>
  <c r="E529" i="39" a="1"/>
  <c r="AD2803" i="9"/>
  <c r="D759" i="39" a="1"/>
  <c r="AD1839" i="9"/>
  <c r="AD3360" i="9"/>
  <c r="AD2943" i="9"/>
  <c r="F187" i="39" a="1"/>
  <c r="AD3389" i="9"/>
  <c r="AD1686" i="9"/>
  <c r="G543" i="39" a="1"/>
  <c r="AD275" i="9"/>
  <c r="D838" i="39" a="1"/>
  <c r="D591" i="39" a="1"/>
  <c r="B152" i="12"/>
  <c r="E360" i="39" a="1"/>
  <c r="E626" i="39" a="1"/>
  <c r="AD3592" i="9"/>
  <c r="AD147" i="9"/>
  <c r="I736" i="39" a="1"/>
  <c r="B85" i="12"/>
  <c r="I751" i="39" a="1"/>
  <c r="C589" i="39" a="1"/>
  <c r="AD560" i="9"/>
  <c r="AD1860" i="9"/>
  <c r="AD2994" i="9"/>
  <c r="AD2923" i="9"/>
  <c r="AD2605" i="9"/>
  <c r="E355" i="39" a="1"/>
  <c r="AD3604" i="9"/>
  <c r="D922" i="39" a="1"/>
  <c r="D778" i="39" a="1"/>
  <c r="AD3602" i="9"/>
  <c r="AD4289" i="9"/>
  <c r="E170" i="39" a="1"/>
  <c r="AD3414" i="9"/>
  <c r="AD658" i="9"/>
  <c r="I26" i="39" a="1"/>
  <c r="G765" i="39" a="1"/>
  <c r="AD96" i="9"/>
  <c r="I239" i="39" a="1"/>
  <c r="I770" i="39" a="1"/>
  <c r="E668" i="39" a="1"/>
  <c r="AD3226" i="9"/>
  <c r="F266" i="39" a="1"/>
  <c r="AD2822" i="9"/>
  <c r="C410" i="39" a="1"/>
  <c r="AD937" i="9"/>
  <c r="F84" i="39" a="1"/>
  <c r="G287" i="39" a="1"/>
  <c r="C144" i="39" a="1"/>
  <c r="H388" i="39" a="1"/>
  <c r="AD2514" i="9"/>
  <c r="AD4170" i="9"/>
  <c r="AD3272" i="9"/>
  <c r="AD2607" i="9"/>
  <c r="AD1438" i="9"/>
  <c r="AD2379" i="9"/>
  <c r="AD4272" i="9"/>
  <c r="G469" i="39" a="1"/>
  <c r="AD1475" i="9"/>
  <c r="AD3663" i="9"/>
  <c r="H922" i="39" a="1"/>
  <c r="AD338" i="9"/>
  <c r="F609" i="39" a="1"/>
  <c r="H805" i="39" a="1"/>
  <c r="F732" i="39" a="1"/>
  <c r="AD207" i="9"/>
  <c r="AD2828" i="9"/>
  <c r="AD3320" i="9"/>
  <c r="B106" i="12"/>
  <c r="I111" i="39" a="1"/>
  <c r="G147" i="39" a="1"/>
  <c r="F954" i="39" a="1"/>
  <c r="I301" i="39" a="1"/>
  <c r="AD1256" i="9"/>
  <c r="AD2689" i="9"/>
  <c r="C839" i="39" a="1"/>
  <c r="C48" i="39" a="1"/>
  <c r="AD4494" i="9"/>
  <c r="E871" i="39" a="1"/>
  <c r="I646" i="39" a="1"/>
  <c r="C528" i="39" a="1"/>
  <c r="G555" i="39" a="1"/>
  <c r="E815" i="39" a="1"/>
  <c r="I712" i="39" a="1"/>
  <c r="G615" i="39" a="1"/>
  <c r="G284" i="39" a="1"/>
  <c r="G660" i="39" a="1"/>
  <c r="E55" i="39" a="1"/>
  <c r="F406" i="39" a="1"/>
  <c r="AD1463" i="9"/>
  <c r="H425" i="39" a="1"/>
  <c r="AD1784" i="9"/>
  <c r="AD2094" i="9"/>
  <c r="AD1409" i="9"/>
  <c r="AD1486" i="9"/>
  <c r="AD131" i="9"/>
  <c r="AD1977" i="9"/>
  <c r="AD3497" i="9"/>
  <c r="AD3988" i="9"/>
  <c r="C153" i="39" a="1"/>
  <c r="AD3326" i="9"/>
  <c r="D80" i="39" a="1"/>
  <c r="AD1729" i="9"/>
  <c r="AD3115" i="9"/>
  <c r="AD3852" i="9"/>
  <c r="C428" i="39" a="1"/>
  <c r="AD3617" i="9"/>
  <c r="AD203" i="9"/>
  <c r="AD2002" i="9"/>
  <c r="F703" i="39" a="1"/>
  <c r="F226" i="39" a="1"/>
  <c r="AD2417" i="9"/>
  <c r="G45" i="39" a="1"/>
  <c r="B51" i="12"/>
  <c r="D265" i="39" a="1"/>
  <c r="AD139" i="9"/>
  <c r="AD974" i="9"/>
  <c r="C74" i="39" a="1"/>
  <c r="D770" i="39" a="1"/>
  <c r="AD17" i="9"/>
  <c r="C242" i="39" a="1"/>
  <c r="AD805" i="9"/>
  <c r="AD1004" i="9"/>
  <c r="C627" i="39" a="1"/>
  <c r="AD1057" i="9"/>
  <c r="E706" i="39" a="1"/>
  <c r="H445" i="39" a="1"/>
  <c r="F687" i="39" a="1"/>
  <c r="B127" i="12"/>
  <c r="E296" i="39" a="1"/>
  <c r="AD573" i="9"/>
  <c r="F369" i="39" a="1"/>
  <c r="AD357" i="9"/>
  <c r="G1020" i="39" a="1"/>
  <c r="C267" i="39" a="1"/>
  <c r="AD1201" i="9"/>
  <c r="D747" i="39" a="1"/>
  <c r="E961" i="39" a="1"/>
  <c r="D321" i="39" a="1"/>
  <c r="AD566" i="9"/>
  <c r="AD2968" i="9"/>
  <c r="I491" i="39" a="1"/>
  <c r="AD4085" i="9"/>
  <c r="F884" i="39" a="1"/>
  <c r="B23" i="12"/>
  <c r="AD2927" i="9"/>
  <c r="H420" i="39" a="1"/>
  <c r="C78" i="39" a="1"/>
  <c r="C279" i="39" a="1"/>
  <c r="H454" i="39" a="1"/>
  <c r="D347" i="39" a="1"/>
  <c r="E993" i="39" a="1"/>
  <c r="G536" i="39" a="1"/>
  <c r="I404" i="39" a="1"/>
  <c r="E972" i="39" a="1"/>
  <c r="AD3667" i="9"/>
  <c r="AD3340" i="9"/>
  <c r="C489" i="39" a="1"/>
  <c r="B116" i="12"/>
  <c r="E722" i="39" a="1"/>
  <c r="I413" i="39" a="1"/>
  <c r="F917" i="39" a="1"/>
  <c r="H341" i="39" a="1"/>
  <c r="C392" i="39" a="1"/>
  <c r="C36" i="39" a="1"/>
  <c r="E565" i="39" a="1"/>
  <c r="AD150" i="9"/>
  <c r="C859" i="39" a="1"/>
  <c r="C154" i="39" a="1"/>
  <c r="D756" i="39" a="1"/>
  <c r="I522" i="39" a="1"/>
  <c r="AD2952" i="9"/>
  <c r="G405" i="39" a="1"/>
  <c r="C534" i="39" a="1"/>
  <c r="E140" i="39" a="1"/>
  <c r="AD3813" i="9"/>
  <c r="AD3504" i="9"/>
  <c r="I872" i="39" a="1"/>
  <c r="AD368" i="9"/>
  <c r="AD486" i="9"/>
  <c r="E181" i="39" a="1"/>
  <c r="E321" i="39" a="1"/>
  <c r="C675" i="39" a="1"/>
  <c r="AD1815" i="9"/>
  <c r="D440" i="39" a="1"/>
  <c r="I610" i="39" a="1"/>
  <c r="AD3886" i="9"/>
  <c r="I735" i="39" a="1"/>
  <c r="C580" i="39" a="1"/>
  <c r="F994" i="39" a="1"/>
  <c r="F196" i="39" a="1"/>
  <c r="I116" i="39" a="1"/>
  <c r="AD470" i="9"/>
  <c r="AD842" i="9"/>
  <c r="D811" i="39" a="1"/>
  <c r="E727" i="39" a="1"/>
  <c r="I253" i="39" a="1"/>
  <c r="G430" i="39" a="1"/>
  <c r="AD2861" i="9"/>
  <c r="G893" i="39" a="1"/>
  <c r="AD3193" i="9"/>
  <c r="D233" i="39" a="1"/>
  <c r="I458" i="39" a="1"/>
  <c r="AD1662" i="9"/>
  <c r="AD1084" i="9"/>
  <c r="AD2144" i="9"/>
  <c r="C285" i="39" a="1"/>
  <c r="AD2762" i="9"/>
  <c r="AD503" i="9"/>
  <c r="AD2406" i="9"/>
  <c r="F598" i="39" a="1"/>
  <c r="I658" i="39" a="1"/>
  <c r="G923" i="39" a="1"/>
  <c r="AD1407" i="9"/>
  <c r="C16" i="39" a="1"/>
  <c r="I269" i="39" a="1"/>
  <c r="H136" i="39" a="1"/>
  <c r="H192" i="39" a="1"/>
  <c r="D854" i="39" a="1"/>
  <c r="F567" i="39" a="1"/>
  <c r="AD782" i="9"/>
  <c r="AD1262" i="9"/>
  <c r="G537" i="39" a="1"/>
  <c r="AD1482" i="9"/>
  <c r="AD1649" i="9"/>
  <c r="H249" i="39" a="1"/>
  <c r="F901" i="39" a="1"/>
  <c r="AD3897" i="9"/>
  <c r="AD3345" i="9"/>
  <c r="AD3107" i="9"/>
  <c r="I742" i="39" a="1"/>
  <c r="C395" i="39" a="1"/>
  <c r="E230" i="39" a="1"/>
  <c r="C984" i="39" a="1"/>
  <c r="AD3476" i="9"/>
  <c r="AD3231" i="9"/>
  <c r="H717" i="39" a="1"/>
  <c r="AD1095" i="9"/>
  <c r="E911" i="39" a="1"/>
  <c r="H698" i="39" a="1"/>
  <c r="C538" i="39" a="1"/>
  <c r="I908" i="39" a="1"/>
  <c r="AD4174" i="9"/>
  <c r="C234" i="39" a="1"/>
  <c r="F552" i="39" a="1"/>
  <c r="E306" i="39" a="1"/>
  <c r="AD4084" i="9"/>
  <c r="AD4060" i="9"/>
  <c r="H560" i="39" a="1"/>
  <c r="AD1738" i="9"/>
  <c r="F706" i="39" a="1"/>
  <c r="D844" i="39" a="1"/>
  <c r="AD2964" i="9"/>
  <c r="C900" i="39" a="1"/>
  <c r="AD3571" i="9"/>
  <c r="AD3375" i="9"/>
  <c r="F803" i="39" a="1"/>
  <c r="C812" i="39" a="1"/>
  <c r="I909" i="39" a="1"/>
  <c r="G863" i="39" a="1"/>
  <c r="C533" i="39" a="1"/>
  <c r="AD2431" i="9"/>
  <c r="AD2783" i="9"/>
  <c r="AD2218" i="9"/>
  <c r="AD71" i="9"/>
  <c r="AD1893" i="9"/>
  <c r="AD4259" i="9"/>
  <c r="AD1830" i="9"/>
  <c r="AD3540" i="9"/>
  <c r="AD309" i="9"/>
  <c r="AD4323" i="9"/>
  <c r="AD3307" i="9"/>
  <c r="AD2949" i="9"/>
  <c r="C336" i="39" a="1"/>
  <c r="F252" i="39" a="1"/>
  <c r="G452" i="39" a="1"/>
  <c r="AD1244" i="9"/>
  <c r="AD2172" i="9"/>
  <c r="C231" i="39" a="1"/>
  <c r="C256" i="39" a="1"/>
  <c r="H671" i="39" a="1"/>
  <c r="C850" i="39" a="1"/>
  <c r="AD2569" i="9"/>
  <c r="F1021" i="39" a="1"/>
  <c r="I1023" i="39" a="1"/>
  <c r="C821" i="39" a="1"/>
  <c r="I366" i="39" a="1"/>
  <c r="G715" i="39" a="1"/>
  <c r="AD4354" i="9"/>
  <c r="G965" i="39" a="1"/>
  <c r="E1015" i="39" a="1"/>
  <c r="I229" i="39" a="1"/>
  <c r="AD2238" i="9"/>
  <c r="AD712" i="9"/>
  <c r="C145" i="39" a="1"/>
  <c r="B134" i="12"/>
  <c r="AD2462" i="9"/>
  <c r="AD2409" i="9"/>
  <c r="AD2380" i="9"/>
  <c r="H586" i="39" a="1"/>
  <c r="AD1492" i="9"/>
  <c r="D444" i="39" a="1"/>
  <c r="AD2338" i="9"/>
  <c r="C1001" i="39" a="1"/>
  <c r="H958" i="39" a="1"/>
  <c r="AD4164" i="9"/>
  <c r="AD1606" i="9"/>
  <c r="G845" i="39" a="1"/>
  <c r="AD1878" i="9"/>
  <c r="AD1166" i="9"/>
  <c r="H449" i="39" a="1"/>
  <c r="AD3786" i="9"/>
  <c r="AD2610" i="9"/>
  <c r="AD3122" i="9"/>
  <c r="AD4305" i="9"/>
  <c r="C692" i="39" a="1"/>
  <c r="D700" i="39" a="1"/>
  <c r="AD1158" i="9"/>
  <c r="B103" i="12"/>
  <c r="AD568" i="9"/>
  <c r="C584" i="39" a="1"/>
  <c r="G999" i="39" a="1"/>
  <c r="AD900" i="9"/>
  <c r="H852" i="39" a="1"/>
  <c r="E322" i="39" a="1"/>
  <c r="AD3208" i="9"/>
  <c r="D874" i="39" a="1"/>
  <c r="E40" i="39" a="1"/>
  <c r="AD2686" i="9"/>
  <c r="AD2291" i="9"/>
  <c r="AD4353" i="9"/>
  <c r="H566" i="39" a="1"/>
  <c r="D619" i="39" a="1"/>
  <c r="AD1576" i="9"/>
  <c r="AD1964" i="9"/>
  <c r="AD2139" i="9"/>
  <c r="AD1108" i="9"/>
  <c r="E286" i="39" a="1"/>
  <c r="I199" i="39" a="1"/>
  <c r="G884" i="39" a="1"/>
  <c r="F56" i="39" a="1"/>
  <c r="F475" i="39" a="1"/>
  <c r="D287" i="39" a="1"/>
  <c r="C660" i="39" a="1"/>
  <c r="C661" i="39" a="1"/>
  <c r="AD3243" i="9"/>
  <c r="AD2161" i="9"/>
  <c r="AD395" i="9"/>
  <c r="AD1600" i="9"/>
  <c r="AD4469" i="9"/>
  <c r="AD3630" i="9"/>
  <c r="AD66" i="9"/>
  <c r="D515" i="39" a="1"/>
  <c r="AD1328" i="9"/>
  <c r="F213" i="39" a="1"/>
  <c r="AD2227" i="9"/>
  <c r="F1018" i="39" a="1"/>
  <c r="AD1880" i="9"/>
  <c r="F483" i="39" a="1"/>
  <c r="AD3160" i="9"/>
  <c r="AD1062" i="9"/>
  <c r="I312" i="39" a="1"/>
  <c r="AD2567" i="9"/>
  <c r="F70" i="39" a="1"/>
  <c r="AD4377" i="9"/>
  <c r="H461" i="39" a="1"/>
  <c r="E112" i="39" a="1"/>
  <c r="H551" i="39" a="1"/>
  <c r="AD3295" i="9"/>
  <c r="AD1052" i="9"/>
  <c r="I663" i="39" a="1"/>
  <c r="C522" i="39" a="1"/>
  <c r="AD3080" i="9"/>
  <c r="AD1537" i="9"/>
  <c r="AD3995" i="9"/>
  <c r="AD3343" i="9"/>
  <c r="I710" i="39" a="1"/>
  <c r="H228" i="39" a="1"/>
  <c r="AD3574" i="9"/>
  <c r="AD1111" i="9"/>
  <c r="E8" i="39" a="1"/>
  <c r="C313" i="39" a="1"/>
  <c r="F275" i="39" a="1"/>
  <c r="G156" i="39" a="1"/>
  <c r="I814" i="39" a="1"/>
  <c r="AD3214" i="9"/>
  <c r="AD3798" i="9"/>
  <c r="AD607" i="9"/>
  <c r="AD2722" i="9"/>
  <c r="AD3895" i="9"/>
  <c r="I526" i="39" a="1"/>
  <c r="AD1362" i="9"/>
  <c r="F162" i="39" a="1"/>
  <c r="AD3067" i="9"/>
  <c r="AD1794" i="9"/>
  <c r="I117" i="39" a="1"/>
  <c r="C779" i="39" a="1"/>
  <c r="D358" i="39" a="1"/>
  <c r="G631" i="39" a="1"/>
  <c r="G100" i="39" a="1"/>
  <c r="AD1232" i="9"/>
  <c r="I34" i="39" a="1"/>
  <c r="I954" i="39" a="1"/>
  <c r="AD3582" i="9"/>
  <c r="H269" i="39" a="1"/>
  <c r="G324" i="39" a="1"/>
  <c r="F286" i="39" a="1"/>
  <c r="AD3882" i="9"/>
  <c r="AD2289" i="9"/>
  <c r="AD1902" i="9"/>
  <c r="G866" i="39" a="1"/>
  <c r="D936" i="39" a="1"/>
  <c r="C559" i="39" a="1"/>
  <c r="AD4281" i="9"/>
  <c r="AD2178" i="9"/>
  <c r="AD2053" i="9"/>
  <c r="AD4055" i="9"/>
  <c r="AD3380" i="9"/>
  <c r="E222" i="39" a="1"/>
  <c r="AD526" i="9"/>
  <c r="AD1199" i="9"/>
  <c r="D171" i="39" a="1"/>
  <c r="F538" i="39" a="1"/>
  <c r="AD737" i="9"/>
  <c r="AD3816" i="9"/>
  <c r="H93" i="39" a="1"/>
  <c r="E89" i="39" a="1"/>
  <c r="AD3944" i="9"/>
  <c r="F292" i="39" a="1"/>
  <c r="G290" i="39" a="1"/>
  <c r="H463" i="39" a="1"/>
  <c r="AD4148" i="9"/>
  <c r="AD2324" i="9"/>
  <c r="AD3945" i="9"/>
  <c r="F858" i="39" a="1"/>
  <c r="AD1939" i="9"/>
  <c r="H335" i="39" a="1"/>
  <c r="AD2965" i="9"/>
  <c r="AD2058" i="9"/>
  <c r="AD4271" i="9"/>
  <c r="I957" i="39" a="1"/>
  <c r="F626" i="39" a="1"/>
  <c r="AD611" i="9"/>
  <c r="AD2999" i="9"/>
  <c r="F876" i="39" a="1"/>
  <c r="H581" i="39" a="1"/>
  <c r="F61" i="39" a="1"/>
  <c r="F856" i="39" a="1"/>
  <c r="AD1355" i="9"/>
  <c r="H517" i="39" a="1"/>
  <c r="AD836" i="9"/>
  <c r="AD2550" i="9"/>
  <c r="G385" i="39" a="1"/>
  <c r="E216" i="39" a="1"/>
  <c r="F203" i="39" a="1"/>
  <c r="F796" i="39" a="1"/>
  <c r="AD856" i="9"/>
  <c r="AD3154" i="9"/>
  <c r="AD830" i="9"/>
  <c r="H570" i="39" a="1"/>
  <c r="G857" i="39" a="1"/>
  <c r="D970" i="39" a="1"/>
  <c r="AD2848" i="9"/>
  <c r="AD4129" i="9"/>
  <c r="G847" i="39" a="1"/>
  <c r="AD1932" i="9"/>
  <c r="H827" i="39" a="1"/>
  <c r="G666" i="39" a="1"/>
  <c r="E1009" i="39" a="1"/>
  <c r="E840" i="39" a="1"/>
  <c r="F720" i="39" a="1"/>
  <c r="E988" i="39" a="1"/>
  <c r="AD1480" i="9"/>
  <c r="AD1433" i="9"/>
  <c r="G652" i="39" a="1"/>
  <c r="C32" i="39" a="1"/>
  <c r="AD1252" i="9"/>
  <c r="AD2106" i="9"/>
  <c r="E574" i="39" a="1"/>
  <c r="AD2819" i="9"/>
  <c r="AD789" i="9"/>
  <c r="D816" i="39" a="1"/>
  <c r="AD4143" i="9"/>
  <c r="I361" i="39" a="1"/>
  <c r="F971" i="39" a="1"/>
  <c r="E266" i="39" a="1"/>
  <c r="AD2279" i="9"/>
  <c r="AD3424" i="9"/>
  <c r="I128" i="39" a="1"/>
  <c r="I585" i="39" a="1"/>
  <c r="I683" i="39" a="1"/>
  <c r="AD1908" i="9"/>
  <c r="E715" i="39" a="1"/>
  <c r="D745" i="39" a="1"/>
  <c r="D520" i="39" a="1"/>
  <c r="AD1897" i="9"/>
  <c r="C340" i="39" a="1"/>
  <c r="AD4088" i="9"/>
  <c r="F813" i="39" a="1"/>
  <c r="AD3407" i="9"/>
  <c r="AD2955" i="9"/>
  <c r="G443" i="39" a="1"/>
  <c r="I279" i="39" a="1"/>
  <c r="AD1711" i="9"/>
  <c r="C852" i="39" a="1"/>
  <c r="I227" i="39" a="1"/>
  <c r="AD3671" i="9"/>
  <c r="I53" i="39" a="1"/>
  <c r="D1" i="39" a="1"/>
  <c r="AD3721" i="9"/>
  <c r="D774" i="39" a="1"/>
  <c r="AD3820" i="9"/>
  <c r="AD3101" i="9"/>
  <c r="AD3147" i="9"/>
  <c r="E622" i="39" a="1"/>
  <c r="I515" i="39" a="1"/>
  <c r="AD3233" i="9"/>
  <c r="H951" i="39" a="1"/>
  <c r="AD3632" i="9"/>
  <c r="H389" i="39" a="1"/>
  <c r="H607" i="39" a="1"/>
  <c r="C632" i="39" a="1"/>
  <c r="AD3317" i="9"/>
  <c r="AD4176" i="9"/>
  <c r="AD1124" i="9"/>
  <c r="AD2731" i="9"/>
  <c r="F218" i="39" a="1"/>
  <c r="G417" i="39" a="1"/>
  <c r="F717" i="39" a="1"/>
  <c r="AD1814" i="9"/>
  <c r="AD3296" i="9"/>
  <c r="G969" i="39" a="1"/>
  <c r="AD4447" i="9"/>
  <c r="I437" i="39" a="1"/>
  <c r="D898" i="39" a="1"/>
  <c r="G584" i="39" a="1"/>
  <c r="AD543" i="9"/>
  <c r="G854" i="39" a="1"/>
  <c r="AD3448" i="9"/>
  <c r="C500" i="39" a="1"/>
  <c r="C130" i="39" a="1"/>
  <c r="C504" i="39" a="1"/>
  <c r="AD3788" i="9"/>
  <c r="AD1204" i="9"/>
  <c r="AD1295" i="9"/>
  <c r="AD3411" i="9"/>
  <c r="E1014" i="39" a="1"/>
  <c r="G811" i="39" a="1"/>
  <c r="H416" i="39" a="1"/>
  <c r="AD4486" i="9"/>
  <c r="F170" i="39" a="1"/>
  <c r="AD205" i="9"/>
  <c r="C907" i="39" a="1"/>
  <c r="F186" i="39" a="1"/>
  <c r="G272" i="39" a="1"/>
  <c r="E712" i="39" a="1"/>
  <c r="G334" i="39" a="1"/>
  <c r="C275" i="39" a="1"/>
  <c r="E540" i="39" a="1"/>
  <c r="AD3612" i="9"/>
  <c r="B32" i="12"/>
  <c r="AD681" i="9"/>
  <c r="F508" i="39" a="1"/>
  <c r="F398" i="39" a="1"/>
  <c r="AD1245" i="9"/>
  <c r="AD2152" i="9"/>
  <c r="G212" i="39" a="1"/>
  <c r="AD2604" i="9"/>
  <c r="AD3474" i="9"/>
  <c r="AD2971" i="9"/>
  <c r="I812" i="39" a="1"/>
  <c r="F148" i="39" a="1"/>
  <c r="AD1837" i="9"/>
  <c r="G144" i="39" a="1"/>
  <c r="AD335" i="9"/>
  <c r="AD2196" i="9"/>
  <c r="C293" i="39" a="1"/>
  <c r="F285" i="39" a="1"/>
  <c r="AD418" i="9"/>
  <c r="C351" i="39" a="1"/>
  <c r="I334" i="39" a="1"/>
  <c r="AD3713" i="9"/>
  <c r="F624" i="39" a="1"/>
  <c r="F845" i="39" a="1"/>
  <c r="AD1176" i="9"/>
  <c r="AD1782" i="9"/>
  <c r="C442" i="39" a="1"/>
  <c r="AD3462" i="9"/>
  <c r="AD4053" i="9"/>
  <c r="D570" i="39" a="1"/>
  <c r="AD493" i="9"/>
  <c r="H743" i="39" a="1"/>
  <c r="C737" i="39" a="1"/>
  <c r="AD1356" i="9"/>
  <c r="AD3337" i="9"/>
  <c r="C999" i="39" a="1"/>
  <c r="AD1862" i="9"/>
  <c r="C414" i="39" a="1"/>
  <c r="AD2014" i="9"/>
  <c r="C519" i="39" a="1"/>
  <c r="AD100" i="9"/>
  <c r="AD2598" i="9"/>
  <c r="C139" i="39" a="1"/>
  <c r="AD235" i="9"/>
  <c r="AD3622" i="9"/>
  <c r="AD1288" i="9"/>
  <c r="C366" i="39" a="1"/>
  <c r="C438" i="39" a="1"/>
  <c r="AD3978" i="9"/>
  <c r="AD1319" i="9"/>
  <c r="AD3503" i="9"/>
  <c r="B111" i="12"/>
  <c r="D649" i="39" a="1"/>
  <c r="AD4384" i="9"/>
  <c r="B39" i="12"/>
  <c r="AD1017" i="9"/>
  <c r="AD1147" i="9"/>
  <c r="AD3318" i="9"/>
  <c r="G747" i="39" a="1"/>
  <c r="AD1984" i="9"/>
  <c r="AD1678" i="9"/>
  <c r="AD1497" i="9"/>
  <c r="AD2869" i="9"/>
  <c r="AD2832" i="9"/>
  <c r="E782" i="39" a="1"/>
  <c r="C123" i="39" a="1"/>
  <c r="AD3240" i="9"/>
  <c r="F262" i="39" a="1"/>
  <c r="E665" i="39" a="1"/>
  <c r="G182" i="39" a="1"/>
  <c r="AD794" i="9"/>
  <c r="D3" i="39" a="1"/>
  <c r="C570" i="39" a="1"/>
  <c r="I1014" i="39" a="1"/>
  <c r="AD412" i="9"/>
  <c r="AD567" i="9"/>
  <c r="AD3825" i="9"/>
  <c r="E151" i="39" a="1"/>
  <c r="AD2679" i="9"/>
  <c r="AD1083" i="9"/>
  <c r="B5" i="12"/>
  <c r="F62" i="39" a="1"/>
  <c r="I370" i="39" a="1"/>
  <c r="AD585" i="9"/>
  <c r="F893" i="39" a="1"/>
  <c r="I916" i="39" a="1"/>
  <c r="I505" i="39" a="1"/>
  <c r="G905" i="39" a="1"/>
  <c r="I347" i="39" a="1"/>
  <c r="D1004" i="39" a="1"/>
  <c r="H657" i="39" a="1"/>
  <c r="AD2536" i="9"/>
  <c r="AD1620" i="9"/>
  <c r="AD2136" i="9"/>
  <c r="I922" i="39" a="1"/>
  <c r="D581" i="39" a="1"/>
  <c r="AD2128" i="9"/>
  <c r="AD930" i="9"/>
  <c r="AD2818" i="9"/>
  <c r="G922" i="39" a="1"/>
  <c r="I755" i="39" a="1"/>
  <c r="AD2214" i="9"/>
  <c r="C910" i="39" a="1"/>
  <c r="F855" i="39" a="1"/>
  <c r="I35" i="39" a="1"/>
  <c r="AD2288" i="9"/>
  <c r="AD1779" i="9"/>
  <c r="AD3385" i="9"/>
  <c r="H544" i="39" a="1"/>
  <c r="E717" i="39" a="1"/>
  <c r="AD1133" i="9"/>
  <c r="AD106" i="9"/>
  <c r="C426" i="39" a="1"/>
  <c r="H58" i="39" a="1"/>
  <c r="H345" i="39" a="1"/>
  <c r="D598" i="39" a="1"/>
  <c r="C978" i="39" a="1"/>
  <c r="AD746" i="9"/>
  <c r="AD3142" i="9"/>
  <c r="D328" i="39" a="1"/>
  <c r="I932" i="39" a="1"/>
  <c r="E658" i="39" a="1"/>
  <c r="AD2403" i="9"/>
  <c r="AD1592" i="9"/>
  <c r="AD130" i="9"/>
  <c r="AD2030" i="9"/>
  <c r="AD2672" i="9"/>
  <c r="H502" i="39" a="1"/>
  <c r="AD3573" i="9"/>
  <c r="AD2200" i="9"/>
  <c r="F145" i="39" a="1"/>
  <c r="H97" i="39" a="1"/>
  <c r="AD2706" i="9"/>
  <c r="E344" i="39" a="1"/>
  <c r="AD479" i="9"/>
  <c r="AD3548" i="9"/>
  <c r="AD472" i="9"/>
  <c r="AD3151" i="9"/>
  <c r="AD1437" i="9"/>
  <c r="D716" i="39" a="1"/>
  <c r="G21" i="39" a="1"/>
  <c r="AD2140" i="9"/>
  <c r="G311" i="39" a="1"/>
  <c r="D766" i="39" a="1"/>
  <c r="AD4054" i="9"/>
  <c r="I590" i="39" a="1"/>
  <c r="C122" i="39" a="1"/>
  <c r="D705" i="39" a="1"/>
  <c r="AD2184" i="9"/>
  <c r="AD4184" i="9"/>
  <c r="D998" i="39" a="1"/>
  <c r="F523" i="39" a="1"/>
  <c r="F409" i="39" a="1"/>
  <c r="AD2574" i="9"/>
  <c r="E369" i="39" a="1"/>
  <c r="AD112" i="9"/>
  <c r="AD508" i="9"/>
  <c r="AD319" i="9"/>
  <c r="C985" i="39" a="1"/>
  <c r="F1016" i="39" a="1"/>
  <c r="AD2301" i="9"/>
  <c r="AD171" i="9"/>
  <c r="AD1757" i="9"/>
  <c r="C698" i="39" a="1"/>
  <c r="G529" i="39" a="1"/>
  <c r="AD3478" i="9"/>
  <c r="E291" i="39" a="1"/>
  <c r="AD4341" i="9"/>
  <c r="H143" i="39" a="1"/>
  <c r="E702" i="39" a="1"/>
  <c r="C911" i="39" a="1"/>
  <c r="C725" i="39" a="1"/>
  <c r="AD1809" i="9"/>
  <c r="G661" i="39" a="1"/>
  <c r="I46" i="39" a="1"/>
  <c r="E933" i="39" a="1"/>
  <c r="AD2276" i="9"/>
  <c r="AD1639" i="9"/>
  <c r="AD831" i="9"/>
  <c r="D402" i="39" a="1"/>
  <c r="AD1445" i="9"/>
  <c r="AD1093" i="9"/>
  <c r="AD874" i="9"/>
  <c r="C171" i="39" a="1"/>
  <c r="H153" i="39" a="1"/>
  <c r="F128" i="39" a="1"/>
  <c r="AD3772" i="9"/>
  <c r="AD4254" i="9"/>
  <c r="AD3774" i="9"/>
  <c r="AD554" i="9"/>
  <c r="D820" i="39" a="1"/>
  <c r="C479" i="39" a="1"/>
  <c r="AD4086" i="9"/>
  <c r="C20" i="39" a="1"/>
  <c r="I893" i="39" a="1"/>
  <c r="AD2450" i="9"/>
  <c r="AD3058" i="9"/>
  <c r="AD4439" i="9"/>
  <c r="F546" i="39" a="1"/>
  <c r="AD1429" i="9"/>
  <c r="I1" i="39" a="1"/>
  <c r="AD4005" i="9"/>
  <c r="H887" i="39" a="1"/>
  <c r="AD1431" i="9"/>
  <c r="AD1532" i="9"/>
  <c r="E407" i="39" a="1"/>
  <c r="AD2908" i="9"/>
  <c r="G841" i="39" a="1"/>
  <c r="AD3957" i="9"/>
  <c r="AD2788" i="9"/>
  <c r="B65" i="12"/>
  <c r="G466" i="39" a="1"/>
  <c r="B163" i="12"/>
  <c r="G740" i="39" a="1"/>
  <c r="AD906" i="9"/>
  <c r="D308" i="39" a="1"/>
  <c r="G426" i="39" a="1"/>
  <c r="AD2105" i="9"/>
  <c r="E754" i="39" a="1"/>
  <c r="AD415" i="9"/>
  <c r="AD1760" i="9"/>
  <c r="E464" i="39" a="1"/>
  <c r="I777" i="39" a="1"/>
  <c r="AD2194" i="9"/>
  <c r="I595" i="39" a="1"/>
  <c r="F215" i="39" a="1"/>
  <c r="AD3869" i="9"/>
  <c r="AD3483" i="9"/>
  <c r="F849" i="39" a="1"/>
  <c r="G360" i="39" a="1"/>
  <c r="AD1276" i="9"/>
  <c r="AD1297" i="9"/>
  <c r="C4" i="39" a="1"/>
  <c r="H764" i="39" a="1"/>
  <c r="AD3985" i="9"/>
  <c r="C518" i="39" a="1"/>
  <c r="G494" i="39" a="1"/>
  <c r="C361" i="39" a="1"/>
  <c r="AD4090" i="9"/>
  <c r="I363" i="39" a="1"/>
  <c r="D798" i="39" a="1"/>
  <c r="AD2057" i="9"/>
  <c r="AD1012" i="9"/>
  <c r="AD1986" i="9"/>
  <c r="G49" i="39" a="1"/>
  <c r="AD722" i="9"/>
  <c r="F951" i="39" a="1"/>
  <c r="H479" i="39" a="1"/>
  <c r="AD2668" i="9"/>
  <c r="G733" i="39" a="1"/>
  <c r="C934" i="39" a="1"/>
  <c r="B48" i="12"/>
  <c r="AD2900" i="9"/>
  <c r="E122" i="39" a="1"/>
  <c r="F350" i="39" a="1"/>
  <c r="E382" i="39" a="1"/>
  <c r="AD4185" i="9"/>
  <c r="AD3062" i="9"/>
  <c r="AD56" i="9"/>
  <c r="AD2612" i="9"/>
  <c r="E294" i="39" a="1"/>
  <c r="E758" i="39" a="1"/>
  <c r="C49" i="39" a="1"/>
  <c r="AD1937" i="9"/>
  <c r="G294" i="39" a="1"/>
  <c r="D277" i="39" a="1"/>
  <c r="AD4103" i="9"/>
  <c r="AD4406" i="9"/>
  <c r="I232" i="39" a="1"/>
  <c r="D885" i="39" a="1"/>
  <c r="AD4233" i="9"/>
  <c r="I325" i="39" a="1"/>
  <c r="I381" i="39" a="1"/>
  <c r="AD2872" i="9"/>
  <c r="E809" i="39" a="1"/>
  <c r="G1009" i="39" a="1"/>
  <c r="H244" i="39" a="1"/>
  <c r="AD3695" i="9"/>
  <c r="AD2844" i="9"/>
  <c r="G705" i="39" a="1"/>
  <c r="F998" i="39" a="1"/>
  <c r="B30" i="12"/>
  <c r="E514" i="39" a="1"/>
  <c r="AD1876" i="9"/>
  <c r="H113" i="39" a="1"/>
  <c r="I1016" i="39" a="1"/>
  <c r="AD1451" i="9"/>
  <c r="G633" i="39" a="1"/>
  <c r="C1011" i="39" a="1"/>
  <c r="H836" i="39" a="1"/>
  <c r="B82" i="12"/>
  <c r="I371" i="39" a="1"/>
  <c r="F140" i="39" a="1"/>
  <c r="D1003" i="39" a="1"/>
  <c r="D907" i="39" a="1"/>
  <c r="AD4504" i="9"/>
  <c r="G589" i="39" a="1"/>
  <c r="AD4379" i="9"/>
  <c r="AD820" i="9"/>
  <c r="AD3745" i="9"/>
  <c r="AD2546" i="9"/>
  <c r="AD4105" i="9"/>
  <c r="I14" i="39" a="1"/>
  <c r="AD4071" i="9"/>
  <c r="AD4296" i="9"/>
  <c r="F296" i="39" a="1"/>
  <c r="AD1644" i="9"/>
  <c r="AD298" i="9"/>
  <c r="C822" i="39" a="1"/>
  <c r="AD2505" i="9"/>
  <c r="F514" i="39" a="1"/>
  <c r="AD2481" i="9"/>
  <c r="AD184" i="9"/>
  <c r="C668" i="39" a="1"/>
  <c r="AD4197" i="9"/>
  <c r="C42" i="39" a="1"/>
  <c r="C773" i="39" a="1"/>
  <c r="E183" i="39" a="1"/>
  <c r="H894" i="39" a="1"/>
  <c r="AD1170" i="9"/>
  <c r="AD23" i="9"/>
  <c r="AD911" i="9"/>
  <c r="AD521" i="9"/>
  <c r="D375" i="39" a="1"/>
  <c r="D873" i="39" a="1"/>
  <c r="AD880" i="9"/>
  <c r="I427" i="39" a="1"/>
  <c r="AD3103" i="9"/>
  <c r="H240" i="39" a="1"/>
  <c r="AD3856" i="9"/>
  <c r="AD3485" i="9"/>
  <c r="AD2055" i="9"/>
  <c r="AD1870" i="9"/>
  <c r="G13" i="39" a="1"/>
  <c r="AD3123" i="9"/>
  <c r="AD2421" i="9"/>
  <c r="C834" i="39" a="1"/>
  <c r="E791" i="39" a="1"/>
  <c r="I246" i="39" a="1"/>
  <c r="E65" i="39" a="1"/>
  <c r="H353" i="39" a="1"/>
  <c r="AD233" i="9"/>
  <c r="D283" i="39" a="1"/>
  <c r="AD3362" i="9"/>
  <c r="C599" i="39" a="1"/>
  <c r="D773" i="39" a="1"/>
  <c r="AD2164" i="9"/>
  <c r="AD2729" i="9"/>
  <c r="B84" i="12"/>
  <c r="AD4030" i="9"/>
  <c r="AD1446" i="9"/>
  <c r="I926" i="39" a="1"/>
  <c r="H245" i="39" a="1"/>
  <c r="G525" i="39" a="1"/>
  <c r="C544" i="39" a="1"/>
  <c r="H700" i="39" a="1"/>
  <c r="C883" i="39" a="1"/>
  <c r="G547" i="39" a="1"/>
  <c r="AD217" i="9"/>
  <c r="AD2079" i="9"/>
  <c r="D617" i="39" a="1"/>
  <c r="AD1172" i="9"/>
  <c r="AD3860" i="9"/>
  <c r="AD889" i="9"/>
  <c r="F778" i="39" a="1"/>
  <c r="AD402" i="9"/>
  <c r="AD1430" i="9"/>
  <c r="F492" i="39" a="1"/>
  <c r="AD271" i="9"/>
  <c r="H678" i="39" a="1"/>
  <c r="F738" i="39" a="1"/>
  <c r="F442" i="39" a="1"/>
  <c r="F537" i="39" a="1"/>
  <c r="AD1638" i="9"/>
  <c r="E474" i="39" a="1"/>
  <c r="AD3956" i="9"/>
  <c r="AD3629" i="9"/>
  <c r="AD550" i="9"/>
  <c r="F774" i="39" a="1"/>
  <c r="AD4297" i="9"/>
  <c r="C106" i="39" a="1"/>
  <c r="D127" i="39" a="1"/>
  <c r="AD2753" i="9"/>
  <c r="AD1743" i="9"/>
  <c r="H593" i="39" a="1"/>
  <c r="AD4045" i="9"/>
  <c r="G593" i="39" a="1"/>
  <c r="AD1120" i="9"/>
  <c r="AD2939" i="9"/>
  <c r="C994" i="39" a="1"/>
  <c r="I636" i="39" a="1"/>
  <c r="AD1426" i="9"/>
  <c r="AD3011" i="9"/>
  <c r="D805" i="39" a="1"/>
  <c r="D31" i="39" a="1"/>
  <c r="H713" i="39" a="1"/>
  <c r="AD1962" i="9"/>
  <c r="D257" i="39" a="1"/>
  <c r="AD109" i="9"/>
  <c r="I48" i="39" a="1"/>
  <c r="I1007" i="39" a="1"/>
  <c r="I848" i="39" a="1"/>
  <c r="G621" i="39" a="1"/>
  <c r="I308" i="39" a="1"/>
  <c r="AD627" i="9"/>
  <c r="I498" i="39" a="1"/>
  <c r="AD592" i="9"/>
  <c r="AD4193" i="9"/>
  <c r="AD810" i="9"/>
  <c r="H842" i="39" a="1"/>
  <c r="AD3535" i="9"/>
  <c r="AD1366" i="9"/>
  <c r="AD1605" i="9"/>
  <c r="AD2902" i="9"/>
  <c r="F991" i="39" a="1"/>
  <c r="G646" i="39" a="1"/>
  <c r="G861" i="39" a="1"/>
  <c r="G389" i="39" a="1"/>
  <c r="AD183" i="9"/>
  <c r="H308" i="39" a="1"/>
  <c r="C349" i="39" a="1"/>
  <c r="G829" i="39" a="1"/>
  <c r="E874" i="39" a="1"/>
  <c r="AD1021" i="9"/>
  <c r="AD4150" i="9"/>
  <c r="E927" i="39" a="1"/>
  <c r="AD986" i="9"/>
  <c r="G766" i="39" a="1"/>
  <c r="C740" i="39" a="1"/>
  <c r="C827" i="39" a="1"/>
  <c r="AD2644" i="9"/>
  <c r="I871" i="39" a="1"/>
  <c r="H916" i="39" a="1"/>
  <c r="D916" i="39" a="1"/>
  <c r="H417" i="39" a="1"/>
  <c r="H681" i="39" a="1"/>
  <c r="E381" i="39" a="1"/>
  <c r="AD3801" i="9"/>
  <c r="G515" i="39" a="1"/>
  <c r="AD3672" i="9"/>
  <c r="C975" i="39" a="1"/>
  <c r="AD1032" i="9"/>
  <c r="I358" i="39" a="1"/>
  <c r="AD3237" i="9"/>
  <c r="E402" i="39" a="1"/>
  <c r="H200" i="39" a="1"/>
  <c r="H470" i="39" a="1"/>
  <c r="F793" i="39" a="1"/>
  <c r="AD4443" i="9"/>
  <c r="AD1716" i="9"/>
  <c r="H1011" i="39" a="1"/>
  <c r="AD189" i="9"/>
  <c r="AD1842" i="9"/>
  <c r="AD3911" i="9"/>
  <c r="AD3051" i="9"/>
  <c r="AD3247" i="9"/>
  <c r="AD3391" i="9"/>
  <c r="I953" i="39" a="1"/>
  <c r="D447" i="39" a="1"/>
  <c r="D586" i="39" a="1"/>
  <c r="AD401" i="9"/>
  <c r="AD829" i="9"/>
  <c r="AD806" i="9"/>
  <c r="AD964" i="9"/>
  <c r="AD1502" i="9"/>
  <c r="G1023" i="39" a="1"/>
  <c r="AD1770" i="9"/>
  <c r="F809" i="39" a="1"/>
  <c r="AD378" i="9"/>
  <c r="I25" i="39" a="1"/>
  <c r="C765" i="39" a="1"/>
  <c r="G336" i="39" a="1"/>
  <c r="G273" i="39" a="1"/>
  <c r="AD1106" i="9"/>
  <c r="AD481" i="9"/>
  <c r="E362" i="39" a="1"/>
  <c r="AD689" i="9"/>
  <c r="E786" i="39" a="1"/>
  <c r="C980" i="39" a="1"/>
  <c r="D42" i="39" a="1"/>
  <c r="B121" i="12"/>
  <c r="G819" i="39" a="1"/>
  <c r="AD4410" i="9"/>
  <c r="E767" i="39" a="1"/>
  <c r="C2" i="39" a="1"/>
  <c r="C856" i="39" a="1"/>
  <c r="F968" i="39" a="1"/>
  <c r="AD3005" i="9"/>
  <c r="E379" i="39" a="1"/>
  <c r="H712" i="39" a="1"/>
  <c r="AD768" i="9"/>
  <c r="AD2653" i="9"/>
  <c r="AD4145" i="9"/>
  <c r="H349" i="39" a="1"/>
  <c r="E76" i="39" a="1"/>
  <c r="C545" i="39" a="1"/>
  <c r="AD1505" i="9"/>
  <c r="AD551" i="9"/>
  <c r="C530" i="39" a="1"/>
  <c r="C35" i="39" a="1"/>
  <c r="I171" i="39" a="1"/>
  <c r="AD1578" i="9"/>
  <c r="F281" i="39" a="1"/>
  <c r="AD1864" i="9"/>
  <c r="E268" i="39" a="1"/>
  <c r="C492" i="39" a="1"/>
  <c r="C847" i="39" a="1"/>
  <c r="D942" i="39" a="1"/>
  <c r="AD1871" i="9"/>
  <c r="C744" i="39" a="1"/>
  <c r="AD3271" i="9"/>
  <c r="AD1024" i="9"/>
  <c r="AD2489" i="9"/>
  <c r="AD3458" i="9"/>
  <c r="AD1515" i="9"/>
  <c r="AD2748" i="9"/>
  <c r="AD1115" i="9"/>
  <c r="F970" i="39" a="1"/>
  <c r="AD509" i="9"/>
  <c r="AD2930" i="9"/>
  <c r="D639" i="39" a="1"/>
  <c r="AD1551" i="9"/>
  <c r="AD4236" i="9"/>
  <c r="D600" i="39" a="1"/>
  <c r="G988" i="39" a="1"/>
  <c r="G58" i="39" a="1"/>
  <c r="C10" i="39" a="1"/>
  <c r="AD2566" i="9"/>
  <c r="D404" i="39" a="1"/>
  <c r="AD2434" i="9"/>
  <c r="AD137" i="9"/>
  <c r="AD3845" i="9"/>
  <c r="AD907" i="9"/>
  <c r="H203" i="39" a="1"/>
  <c r="B174" i="12"/>
  <c r="D115" i="39" a="1"/>
  <c r="D643" i="39" a="1"/>
  <c r="AD1754" i="9"/>
  <c r="AD3907" i="9"/>
  <c r="AD1785" i="9"/>
  <c r="C79" i="39" a="1"/>
  <c r="C424" i="39" a="1"/>
  <c r="AD923" i="9"/>
  <c r="AD1200" i="9"/>
  <c r="AD997" i="9"/>
  <c r="F433" i="39" a="1"/>
  <c r="H728" i="39" a="1"/>
  <c r="AD4099" i="9"/>
  <c r="AD4304" i="9"/>
  <c r="F795" i="39" a="1"/>
  <c r="C238" i="39" a="1"/>
  <c r="H591" i="39" a="1"/>
  <c r="H287" i="39" a="1"/>
  <c r="AD3221" i="9"/>
  <c r="AD321" i="9"/>
  <c r="D578" i="39" a="1"/>
  <c r="H482" i="39" a="1"/>
  <c r="H814" i="39" a="1"/>
  <c r="C858" i="39" a="1"/>
  <c r="C565" i="39" a="1"/>
  <c r="E79" i="39" a="1"/>
  <c r="AD1301" i="9"/>
  <c r="D547" i="39" a="1"/>
  <c r="AD4452" i="9"/>
  <c r="AD1691" i="9"/>
  <c r="AD1624" i="9"/>
  <c r="I570" i="39" a="1"/>
  <c r="AD949" i="9"/>
  <c r="G603" i="39" a="1"/>
  <c r="H78" i="39" a="1"/>
  <c r="H366" i="39" a="1"/>
  <c r="E410" i="39" a="1"/>
  <c r="D383" i="39" a="1"/>
  <c r="C140" i="39" a="1"/>
  <c r="E660" i="39" a="1"/>
  <c r="AD2892" i="9"/>
  <c r="AD208" i="9"/>
  <c r="I844" i="39" a="1"/>
  <c r="I670" i="39" a="1"/>
  <c r="E842" i="39" a="1"/>
  <c r="I697" i="39" a="1"/>
  <c r="AD1396" i="9"/>
  <c r="AD2082" i="9"/>
  <c r="AD83" i="9"/>
  <c r="I939" i="39" a="1"/>
  <c r="G17" i="6"/>
  <c r="AD962" i="9"/>
  <c r="H642" i="39" a="1"/>
  <c r="C655" i="39" a="1"/>
  <c r="E937" i="39" a="1"/>
  <c r="G887" i="39" a="1"/>
  <c r="D32" i="39" a="1"/>
  <c r="AD4413" i="9"/>
  <c r="G788" i="39" a="1"/>
  <c r="AD43" i="9"/>
  <c r="AD2862" i="9"/>
  <c r="AD656" i="9"/>
  <c r="AD2012" i="9"/>
  <c r="AD1379" i="9"/>
  <c r="G876" i="39" a="1"/>
  <c r="F32" i="39" a="1"/>
  <c r="AD2201" i="9"/>
  <c r="G299" i="39" a="1"/>
  <c r="G88" i="39" a="1"/>
  <c r="AD3106" i="9"/>
  <c r="D307" i="39" a="1"/>
  <c r="E153" i="39" a="1"/>
  <c r="AD3170" i="9"/>
  <c r="AD1237" i="9"/>
  <c r="AD1795" i="9"/>
  <c r="AD437" i="9"/>
  <c r="E1020" i="39" a="1"/>
  <c r="AD684" i="9"/>
  <c r="F227" i="39" a="1"/>
  <c r="AD1677" i="9"/>
  <c r="AD3245" i="9"/>
  <c r="G532" i="39" a="1"/>
  <c r="I1004" i="39" a="1"/>
  <c r="AD3323" i="9"/>
  <c r="AD2585" i="9"/>
  <c r="I924" i="39" a="1"/>
  <c r="E975" i="39" a="1"/>
  <c r="AD2978" i="9"/>
  <c r="I754" i="39" a="1"/>
  <c r="AD3670" i="9"/>
  <c r="AD3177" i="9"/>
  <c r="G495" i="39" a="1"/>
  <c r="F713" i="39" a="1"/>
  <c r="AD2333" i="9"/>
  <c r="AD655" i="9"/>
  <c r="E429" i="39" a="1"/>
  <c r="H846" i="39" a="1"/>
  <c r="D861" i="39" a="1"/>
  <c r="AD4013" i="9"/>
  <c r="I82" i="39" a="1"/>
  <c r="D975" i="39" a="1"/>
  <c r="D489" i="39" a="1"/>
  <c r="F1010" i="39" a="1"/>
  <c r="E275" i="39" a="1"/>
  <c r="H158" i="39" a="1"/>
  <c r="H19" i="39" a="1"/>
  <c r="AD1736" i="9"/>
  <c r="G613" i="39" a="1"/>
  <c r="H634" i="39" a="1"/>
  <c r="H882" i="39" a="1"/>
  <c r="E944" i="39" a="1"/>
  <c r="E976" i="39" a="1"/>
  <c r="H992" i="39" a="1"/>
  <c r="AD1525" i="9"/>
  <c r="F688" i="39" a="1"/>
  <c r="AD3742" i="9"/>
  <c r="AD1308" i="9"/>
  <c r="G993" i="39" a="1"/>
  <c r="I140" i="39" a="1"/>
  <c r="E584" i="39" a="1"/>
  <c r="AD2920" i="9"/>
  <c r="E678" i="39" a="1"/>
  <c r="AD2069" i="9"/>
  <c r="AD2597" i="9"/>
  <c r="AD2003" i="9"/>
  <c r="I958" i="39" a="1"/>
  <c r="D559" i="39" a="1"/>
  <c r="D974" i="39" a="1"/>
  <c r="I339" i="39" a="1"/>
  <c r="G282" i="39" a="1"/>
  <c r="C31" i="39" a="1"/>
  <c r="F208" i="39" a="1"/>
  <c r="D318" i="39" a="1"/>
  <c r="G226" i="39" a="1"/>
  <c r="C956" i="39" a="1"/>
  <c r="AD1261" i="9"/>
  <c r="AD732" i="9"/>
  <c r="C345" i="39" a="1"/>
  <c r="D807" i="39" a="1"/>
  <c r="B75" i="12"/>
  <c r="D203" i="39" a="1"/>
  <c r="AD2980" i="9"/>
  <c r="G50" i="39" a="1"/>
  <c r="D302" i="39" a="1"/>
  <c r="AD4056" i="9"/>
  <c r="AD3527" i="9"/>
  <c r="I949" i="39" a="1"/>
  <c r="I13" i="39" a="1"/>
  <c r="G742" i="39" a="1"/>
  <c r="AD153" i="9"/>
  <c r="F1014" i="39" a="1"/>
  <c r="AD267" i="9"/>
  <c r="AD2849" i="9"/>
  <c r="AD4087" i="9"/>
  <c r="I594" i="39" a="1"/>
  <c r="C1022" i="39" a="1"/>
  <c r="AD3509" i="9"/>
  <c r="C127" i="39" a="1"/>
  <c r="H507" i="39" a="1"/>
  <c r="AD3918" i="9"/>
  <c r="F808" i="39" a="1"/>
  <c r="H521" i="39" a="1"/>
  <c r="AD887" i="9"/>
  <c r="AD845" i="9"/>
  <c r="G128" i="39" a="1"/>
  <c r="H292" i="39" a="1"/>
  <c r="G67" i="39" a="1"/>
  <c r="G832" i="39" a="1"/>
  <c r="AD355" i="9"/>
  <c r="AD2017" i="9"/>
  <c r="AD12" i="9"/>
  <c r="E739" i="39" a="1"/>
  <c r="AD59" i="9"/>
  <c r="AD1872" i="9"/>
  <c r="D597" i="39" a="1"/>
  <c r="AD2865" i="9"/>
  <c r="D679" i="39" a="1"/>
  <c r="AD2419" i="9"/>
  <c r="H141" i="39" a="1"/>
  <c r="AD2499" i="9"/>
  <c r="H600" i="39" a="1"/>
  <c r="AD1002" i="9"/>
  <c r="AD261" i="9"/>
  <c r="I763" i="39" a="1"/>
  <c r="G359" i="39" a="1"/>
  <c r="AD1732" i="9"/>
  <c r="D60" i="39" a="1"/>
  <c r="H771" i="39" a="1"/>
  <c r="D132" i="39" a="1"/>
  <c r="I487" i="39" a="1"/>
  <c r="D842" i="39" a="1"/>
  <c r="E920" i="39" a="1"/>
  <c r="D455" i="39" a="1"/>
  <c r="AD1670" i="9"/>
  <c r="G38" i="39" a="1"/>
  <c r="AD2850" i="9"/>
  <c r="C337" i="39" a="1"/>
  <c r="AD4043" i="9"/>
  <c r="AD1215" i="9"/>
  <c r="AD2958" i="9"/>
  <c r="AD2611" i="9"/>
  <c r="F1000" i="39" a="1"/>
  <c r="G950" i="39" a="1"/>
  <c r="AD2236" i="9"/>
  <c r="C427" i="39" a="1"/>
  <c r="AD3950" i="9"/>
  <c r="G948" i="39" a="1"/>
  <c r="AD2198" i="9"/>
  <c r="I897" i="39" a="1"/>
  <c r="E26" i="39" a="1"/>
  <c r="G597" i="39" a="1"/>
  <c r="I168" i="39" a="1"/>
  <c r="AD1777" i="9"/>
  <c r="F174" i="39" a="1"/>
  <c r="I158" i="39" a="1"/>
  <c r="G516" i="39" a="1"/>
  <c r="AD21" i="9"/>
  <c r="AD3466" i="9"/>
  <c r="F317" i="39" a="1"/>
  <c r="H889" i="39" a="1"/>
  <c r="AD3156" i="9"/>
  <c r="C265" i="39" a="1"/>
  <c r="C917" i="39" a="1"/>
  <c r="AD2845" i="9"/>
  <c r="C229" i="39" a="1"/>
  <c r="H255" i="39" a="1"/>
  <c r="AD2183" i="9"/>
  <c r="H984" i="39" a="1"/>
  <c r="AD263" i="9"/>
  <c r="I69" i="39" a="1"/>
  <c r="H639" i="39" a="1"/>
  <c r="H684" i="39" a="1"/>
  <c r="AD2986" i="9"/>
  <c r="AD3719" i="9"/>
  <c r="C85" i="39" a="1"/>
  <c r="F214" i="39" a="1"/>
  <c r="AD3034" i="9"/>
  <c r="AD1812" i="9"/>
  <c r="AD403" i="9"/>
  <c r="H725" i="39" a="1"/>
  <c r="G269" i="39" a="1"/>
  <c r="AD3260" i="9"/>
  <c r="AD4032" i="9"/>
  <c r="H977" i="39" a="1"/>
  <c r="G257" i="39" a="1"/>
  <c r="AD688" i="9"/>
  <c r="AD2522" i="9"/>
  <c r="C638" i="39" a="1"/>
  <c r="AD3383" i="9"/>
  <c r="AD1672" i="9"/>
  <c r="AD1554" i="9"/>
  <c r="I314" i="39" a="1"/>
  <c r="AD672" i="9"/>
  <c r="C46" i="39" a="1"/>
  <c r="D369" i="39" a="1"/>
  <c r="AD278" i="9"/>
  <c r="D776" i="39" a="1"/>
  <c r="AD1552" i="9"/>
  <c r="C178" i="39" a="1"/>
  <c r="AD4136" i="9"/>
  <c r="G769" i="39" a="1"/>
  <c r="E341" i="39" a="1"/>
  <c r="AD26" i="9"/>
  <c r="G1010" i="39" a="1"/>
  <c r="AD1749" i="9"/>
  <c r="G721" i="39" a="1"/>
  <c r="AD2340" i="9"/>
  <c r="AD3799" i="9"/>
  <c r="E672" i="39" a="1"/>
  <c r="AD4123" i="9"/>
  <c r="B124" i="12"/>
  <c r="I920" i="39" a="1"/>
  <c r="H86" i="39" a="1"/>
  <c r="AD972" i="9"/>
  <c r="F150" i="39" a="1"/>
  <c r="H14" i="39" a="1"/>
  <c r="E955" i="39" a="1"/>
  <c r="E396" i="39" a="1"/>
  <c r="G52" i="39" a="1"/>
  <c r="AD3761" i="9"/>
  <c r="AD2542" i="9"/>
  <c r="H303" i="39" a="1"/>
  <c r="C396" i="39" a="1"/>
  <c r="E686" i="39" a="1"/>
  <c r="H594" i="39" a="1"/>
  <c r="C143" i="39" a="1"/>
  <c r="AD2095" i="9"/>
  <c r="AD4118" i="9"/>
  <c r="AD3050" i="9"/>
  <c r="H238" i="39" a="1"/>
  <c r="F790" i="39" a="1"/>
  <c r="AD1220" i="9"/>
  <c r="F675" i="39" a="1"/>
  <c r="AD3309" i="9"/>
  <c r="AD2270" i="9"/>
  <c r="AD588" i="9"/>
  <c r="D824" i="39" a="1"/>
  <c r="AD1342" i="9"/>
  <c r="AD4072" i="9"/>
  <c r="I474" i="39" a="1"/>
  <c r="AD2366" i="9"/>
  <c r="G161" i="39" a="1"/>
  <c r="E74" i="39" a="1"/>
  <c r="C485" i="39" a="1"/>
  <c r="AD2359" i="9"/>
  <c r="AD750" i="9"/>
  <c r="AD149" i="9"/>
  <c r="D281" i="39" a="1"/>
  <c r="AD1881" i="9"/>
  <c r="I788" i="39" a="1"/>
  <c r="F234" i="39" a="1"/>
  <c r="F885" i="39" a="1"/>
  <c r="H530" i="39" a="1"/>
  <c r="AD3404" i="9"/>
  <c r="G698" i="39" a="1"/>
  <c r="AD1222" i="9"/>
  <c r="AD1680" i="9"/>
  <c r="AD3210" i="9"/>
  <c r="AD814" i="9"/>
  <c r="AD4373" i="9"/>
  <c r="F202" i="39" a="1"/>
  <c r="AD1703" i="9"/>
  <c r="E749" i="39" a="1"/>
  <c r="B145" i="12"/>
  <c r="I81" i="39" a="1"/>
  <c r="D732" i="39" a="1"/>
  <c r="H878" i="39" a="1"/>
  <c r="AD3576" i="9"/>
  <c r="C669" i="39" a="1"/>
  <c r="E569" i="39" a="1"/>
  <c r="AD1701" i="9"/>
  <c r="AD4451" i="9"/>
  <c r="AD1747" i="9"/>
  <c r="C906" i="39" a="1"/>
  <c r="AD1075" i="9"/>
  <c r="B69" i="12"/>
  <c r="AD767" i="9"/>
  <c r="G587" i="39" a="1"/>
  <c r="AD3419" i="9"/>
  <c r="D822" i="39" a="1"/>
  <c r="G103" i="39" a="1"/>
  <c r="E673" i="39" a="1"/>
  <c r="AD4423" i="9"/>
  <c r="AD2204" i="9"/>
  <c r="D783" i="39" a="1"/>
  <c r="D651" i="39" a="1"/>
  <c r="AD3451" i="9"/>
  <c r="H949" i="39" a="1"/>
  <c r="AD2469" i="9"/>
  <c r="AD1134" i="9"/>
  <c r="AD2138" i="9"/>
  <c r="C7" i="39" a="1"/>
  <c r="AD671" i="9"/>
  <c r="AD1772" i="9"/>
  <c r="D768" i="39" a="1"/>
  <c r="D457" i="39" a="1"/>
  <c r="I665" i="39" a="1"/>
  <c r="D487" i="39" a="1"/>
  <c r="AD2179" i="9"/>
  <c r="C1021" i="39" a="1"/>
  <c r="E1013" i="39" a="1"/>
  <c r="G104" i="39" a="1"/>
  <c r="E546" i="39" a="1"/>
  <c r="F988" i="39" a="1"/>
  <c r="AD542" i="9"/>
  <c r="AD2710" i="9"/>
  <c r="D198" i="39" a="1"/>
  <c r="AD3049" i="9"/>
  <c r="AD1223" i="9"/>
  <c r="F982" i="39" a="1"/>
  <c r="B101" i="12"/>
  <c r="B108" i="12"/>
  <c r="G691" i="39" a="1"/>
  <c r="E779" i="39" a="1"/>
  <c r="AD3566" i="9"/>
  <c r="AD2060" i="9"/>
  <c r="F768" i="39" a="1"/>
  <c r="D144" i="39" a="1"/>
  <c r="AD2774" i="9"/>
  <c r="H797" i="39" a="1"/>
  <c r="AD4003" i="9"/>
  <c r="C58" i="39" a="1"/>
  <c r="F171" i="39" a="1"/>
  <c r="G827" i="39" a="1"/>
  <c r="I92" i="39" a="1"/>
  <c r="AD4231" i="9"/>
  <c r="G682" i="39" a="1"/>
  <c r="H710" i="39" a="1"/>
  <c r="C897" i="39" a="1"/>
  <c r="E203" i="39" a="1"/>
  <c r="F723" i="39" a="1"/>
  <c r="D458" i="39" a="1"/>
  <c r="G509" i="39" a="1"/>
  <c r="D698" i="39" a="1"/>
  <c r="AD3023" i="9"/>
  <c r="AD4365" i="9"/>
  <c r="D414" i="39" a="1"/>
  <c r="AD3955" i="9"/>
  <c r="AD2860" i="9"/>
  <c r="G98" i="39" a="1"/>
  <c r="F315" i="39" a="1"/>
  <c r="G353" i="39" a="1"/>
  <c r="G564" i="39" a="1"/>
  <c r="E637" i="39" a="1"/>
  <c r="AD3919" i="9"/>
  <c r="D1005" i="39" a="1"/>
  <c r="F622" i="39" a="1"/>
  <c r="AD2099" i="9"/>
  <c r="AD1104" i="9"/>
  <c r="E737" i="39" a="1"/>
  <c r="G686" i="39" a="1"/>
  <c r="C262" i="39" a="1"/>
  <c r="E894" i="39" a="1"/>
  <c r="F585" i="39" a="1"/>
  <c r="E679" i="39" a="1"/>
  <c r="H24" i="39" a="1"/>
  <c r="F641" i="39" a="1"/>
  <c r="I684" i="39" a="1"/>
  <c r="AD2304" i="9"/>
  <c r="AD977" i="9"/>
  <c r="I900" i="39" a="1"/>
  <c r="G549" i="39" a="1"/>
  <c r="C270" i="39" a="1"/>
  <c r="AD2322" i="9"/>
  <c r="D350" i="39" a="1"/>
  <c r="AD1059" i="9"/>
  <c r="AD1163" i="9"/>
  <c r="H906" i="39" a="1"/>
  <c r="C785" i="39" a="1"/>
  <c r="C567" i="39" a="1"/>
  <c r="AD4409" i="9"/>
  <c r="G524" i="39" a="1"/>
  <c r="AD376" i="9"/>
  <c r="F402" i="39" a="1"/>
  <c r="D758" i="39" a="1"/>
  <c r="AD970" i="9"/>
  <c r="AD1388" i="9"/>
  <c r="AD4016" i="9"/>
  <c r="AD2075" i="9"/>
  <c r="AD952" i="9"/>
  <c r="AD3665" i="9"/>
  <c r="I582" i="39" a="1"/>
  <c r="D159" i="39" a="1"/>
  <c r="AD3265" i="9"/>
  <c r="F36" i="39" a="1"/>
  <c r="AD81" i="9"/>
  <c r="C710" i="39" a="1"/>
  <c r="AD1351" i="9"/>
  <c r="AD3262" i="9"/>
  <c r="F578" i="39" a="1"/>
  <c r="AD4351" i="9"/>
  <c r="F192" i="39" a="1"/>
  <c r="AD699" i="9"/>
  <c r="AD2261" i="9"/>
  <c r="AD2747" i="9"/>
  <c r="D678" i="39" a="1"/>
  <c r="H589" i="39" a="1"/>
  <c r="AD1174" i="9"/>
  <c r="G15" i="39" a="1"/>
  <c r="C405" i="39" a="1"/>
  <c r="H730" i="39" a="1"/>
  <c r="AD2233" i="9"/>
  <c r="AD651" i="9"/>
  <c r="AD1358" i="9"/>
  <c r="AD1037" i="9"/>
  <c r="H940" i="39" a="1"/>
  <c r="AD3727" i="9"/>
  <c r="E18" i="39" a="1"/>
  <c r="D529" i="39" a="1"/>
  <c r="G384" i="39" a="1"/>
  <c r="F773" i="39" a="1"/>
  <c r="G505" i="39" a="1"/>
  <c r="D425" i="39" a="1"/>
  <c r="C394" i="39" a="1"/>
  <c r="C686" i="39" a="1"/>
  <c r="AD1213" i="9"/>
  <c r="E587" i="39" a="1"/>
  <c r="AD1841" i="9"/>
  <c r="I822" i="39" a="1"/>
  <c r="H31" i="39" a="1"/>
  <c r="H465" i="39" a="1"/>
  <c r="G730" i="39" a="1"/>
  <c r="C62" i="39" a="1"/>
  <c r="AD815" i="9"/>
  <c r="I533" i="39" a="1"/>
  <c r="AD713" i="9"/>
  <c r="AD1775" i="9"/>
  <c r="AD886" i="9"/>
  <c r="I664" i="39" a="1"/>
  <c r="AD3388" i="9"/>
  <c r="F734" i="39" a="1"/>
  <c r="F306" i="39" a="1"/>
  <c r="AD1851" i="9"/>
  <c r="G414" i="39" a="1"/>
  <c r="F878" i="39" a="1"/>
  <c r="H786" i="39" a="1"/>
  <c r="AD2171" i="9"/>
  <c r="F45" i="39" a="1"/>
  <c r="AD3409" i="9"/>
  <c r="G25" i="39" a="1"/>
  <c r="E550" i="39" a="1"/>
  <c r="AD2008" i="9"/>
  <c r="C452" i="39" a="1"/>
  <c r="G369" i="39" a="1"/>
  <c r="AD3042" i="9"/>
  <c r="F388" i="39" a="1"/>
  <c r="F671" i="39" a="1"/>
  <c r="E458" i="39" a="1"/>
  <c r="G1022" i="39" a="1"/>
  <c r="AD704" i="9"/>
  <c r="D517" i="39" a="1"/>
  <c r="D65" i="39" a="1"/>
  <c r="AD3048" i="9"/>
  <c r="AD3116" i="9"/>
  <c r="G331" i="39" a="1"/>
  <c r="AD1954" i="9"/>
  <c r="H746" i="39" a="1"/>
  <c r="AD2413" i="9"/>
  <c r="G773" i="39" a="1"/>
  <c r="AD854" i="9"/>
  <c r="AD2661" i="9"/>
  <c r="AD1631" i="9"/>
  <c r="F79" i="39" a="1"/>
  <c r="AD167" i="9"/>
  <c r="G275" i="39" a="1"/>
  <c r="AD649" i="9"/>
  <c r="AD4097" i="9"/>
  <c r="AD2149" i="9"/>
  <c r="AD1853" i="9"/>
  <c r="AD1091" i="9"/>
  <c r="F923" i="39" a="1"/>
  <c r="E769" i="39" a="1"/>
  <c r="D15" i="39" a="1"/>
  <c r="C901" i="39" a="1"/>
  <c r="AD4227" i="9"/>
  <c r="AD451" i="9"/>
  <c r="D11" i="39" a="1"/>
  <c r="AD2176" i="9"/>
  <c r="AD334" i="9"/>
  <c r="AD359" i="9"/>
  <c r="AD3930" i="9"/>
  <c r="AD599" i="9"/>
  <c r="I39" i="39" a="1"/>
  <c r="H954" i="39" a="1"/>
  <c r="AD1253" i="9"/>
  <c r="AD1289" i="9"/>
  <c r="AD3489" i="9"/>
  <c r="AD272" i="9"/>
  <c r="AD3059" i="9"/>
  <c r="B139" i="12"/>
  <c r="D142" i="39" a="1"/>
  <c r="H930" i="39" a="1"/>
  <c r="AD3562" i="9"/>
  <c r="AD134" i="9"/>
  <c r="AD1960" i="9"/>
  <c r="I661" i="39" a="1"/>
  <c r="G954" i="39" a="1"/>
  <c r="AD1879" i="9"/>
  <c r="AD4040" i="9"/>
  <c r="AD3598" i="9"/>
  <c r="AD3952" i="9"/>
  <c r="I1002" i="39" a="1"/>
  <c r="AD3537" i="9"/>
  <c r="F633" i="39" a="1"/>
  <c r="AD3438" i="9"/>
  <c r="AD2834" i="9"/>
  <c r="H893" i="39" a="1"/>
  <c r="AD3118" i="9"/>
  <c r="H821" i="39" a="1"/>
  <c r="B144" i="12"/>
  <c r="AD513" i="9"/>
  <c r="AD1956" i="9"/>
  <c r="AD723" i="9"/>
  <c r="H983" i="39" a="1"/>
  <c r="I219" i="39" a="1"/>
  <c r="E4" i="39" a="1"/>
  <c r="F1015" i="39" a="1"/>
  <c r="I398" i="39" a="1"/>
  <c r="AD3766" i="9"/>
  <c r="F225" i="39" a="1"/>
  <c r="E350" i="39" a="1"/>
  <c r="AD534" i="9"/>
  <c r="AD3832" i="9"/>
  <c r="AD3416" i="9"/>
  <c r="D6" i="39" a="1"/>
  <c r="AD1591" i="9"/>
  <c r="C623" i="39" a="1"/>
  <c r="E949" i="39" a="1"/>
  <c r="F353" i="39" a="1"/>
  <c r="H555" i="39" a="1"/>
  <c r="AD2934" i="9"/>
  <c r="AD664" i="9"/>
  <c r="AD1861" i="9"/>
  <c r="C401" i="39" a="1"/>
  <c r="AD3937" i="9"/>
  <c r="H989" i="39" a="1"/>
  <c r="AD848" i="9"/>
  <c r="AD1569" i="9"/>
  <c r="AD2131" i="9"/>
  <c r="AD3707" i="9"/>
  <c r="AD3726" i="9"/>
  <c r="AD4187" i="9"/>
  <c r="C276" i="39" a="1"/>
  <c r="AD1788" i="9"/>
  <c r="C455" i="39" a="1"/>
  <c r="AD996" i="9"/>
  <c r="E808" i="39" a="1"/>
  <c r="C421" i="39" a="1"/>
  <c r="AD1130" i="9"/>
  <c r="H371" i="39" a="1"/>
  <c r="I974" i="39" a="1"/>
  <c r="E41" i="39" a="1"/>
  <c r="G478" i="39" a="1"/>
  <c r="C272" i="39" a="1"/>
  <c r="H215" i="39" a="1"/>
  <c r="B60" i="12"/>
  <c r="I928" i="39" a="1"/>
  <c r="E94" i="39" a="1"/>
  <c r="AD2089" i="9"/>
  <c r="E957" i="39" a="1"/>
  <c r="AD3456" i="9"/>
  <c r="AD2354" i="9"/>
  <c r="I662" i="39" a="1"/>
  <c r="G162" i="39" a="1"/>
  <c r="AD960" i="9"/>
  <c r="H632" i="39" a="1"/>
  <c r="G921" i="39" a="1"/>
  <c r="AD3481" i="9"/>
  <c r="AD3553" i="9"/>
  <c r="AD2479" i="9"/>
  <c r="C87" i="39" a="1"/>
  <c r="AD3207" i="9"/>
  <c r="AD2987" i="9"/>
  <c r="I965" i="39" a="1"/>
  <c r="AD3257" i="9"/>
  <c r="AD381" i="9"/>
  <c r="D488" i="39" a="1"/>
  <c r="AD4202" i="9"/>
  <c r="I952" i="39" a="1"/>
  <c r="AD386" i="9"/>
  <c r="F408" i="39" a="1"/>
  <c r="D625" i="39" a="1"/>
  <c r="AD2367" i="9"/>
  <c r="I78" i="39" a="1"/>
  <c r="AD121" i="9"/>
  <c r="E450" i="39" a="1"/>
  <c r="D799" i="39" a="1"/>
  <c r="AD1735" i="9"/>
  <c r="D967" i="39" a="1"/>
  <c r="AD1188" i="9"/>
  <c r="H851" i="39" a="1"/>
  <c r="AD3828" i="9"/>
  <c r="D840" i="39" a="1"/>
  <c r="AD2516" i="9"/>
  <c r="AD1128" i="9"/>
  <c r="D51" i="39" a="1"/>
  <c r="D631" i="39" a="1"/>
  <c r="D769" i="39" a="1"/>
  <c r="AD2357" i="9"/>
  <c r="E692" i="39" a="1"/>
  <c r="G220" i="39" a="1"/>
  <c r="AD3963" i="9"/>
  <c r="AD785" i="9"/>
  <c r="AD3514" i="9"/>
  <c r="AD676" i="9"/>
  <c r="H603" i="39" a="1"/>
  <c r="B7" i="12"/>
  <c r="C1000" i="39" a="1"/>
  <c r="AD4070" i="9"/>
  <c r="G489" i="39" a="1"/>
  <c r="AD922" i="9"/>
  <c r="E967" i="39" a="1"/>
  <c r="AD1704" i="9"/>
  <c r="D190" i="39" a="1"/>
  <c r="AD1821" i="9"/>
  <c r="D1013" i="39" a="1"/>
  <c r="C961" i="39" a="1"/>
  <c r="F744" i="39" a="1"/>
  <c r="AD2864" i="9"/>
  <c r="F261" i="39" a="1"/>
  <c r="AD129" i="9"/>
  <c r="AD3903" i="9"/>
  <c r="AD500" i="9"/>
  <c r="AD1132" i="9"/>
  <c r="D521" i="39" a="1"/>
  <c r="D535" i="39" a="1"/>
  <c r="B18" i="12"/>
  <c r="H253" i="39" a="1"/>
  <c r="AD2083" i="9"/>
  <c r="AD3158" i="9"/>
  <c r="H624" i="39" a="1"/>
  <c r="AD1521" i="9"/>
  <c r="AD2942" i="9"/>
  <c r="C693" i="39" a="1"/>
  <c r="AD2376" i="9"/>
  <c r="C309" i="39" a="1"/>
  <c r="AD163" i="9"/>
  <c r="AD510" i="9"/>
  <c r="G825" i="39" a="1"/>
  <c r="AD4166" i="9"/>
  <c r="E728" i="39" a="1"/>
  <c r="E1021" i="39" a="1"/>
  <c r="C346" i="39" a="1"/>
  <c r="F365" i="39" a="1"/>
  <c r="C761" i="39" a="1"/>
  <c r="D863" i="39" a="1"/>
  <c r="E45" i="39" a="1"/>
  <c r="G483" i="39" a="1"/>
  <c r="F123" i="39" a="1"/>
  <c r="AD2056" i="9"/>
  <c r="E869" i="39" a="1"/>
  <c r="C268" i="39" a="1"/>
  <c r="AD748" i="9"/>
  <c r="AD2719" i="9"/>
  <c r="AD2226" i="9"/>
  <c r="AD1953" i="9"/>
  <c r="AD841" i="9"/>
  <c r="I986" i="39" a="1"/>
  <c r="F344" i="39" a="1"/>
  <c r="AD3704" i="9"/>
  <c r="G551" i="39" a="1"/>
  <c r="I644" i="39" a="1"/>
  <c r="AD3071" i="9"/>
  <c r="E280" i="39" a="1"/>
  <c r="H976" i="39" a="1"/>
  <c r="F472" i="39" a="1"/>
  <c r="C187" i="39" a="1"/>
  <c r="AD824" i="9"/>
  <c r="AD4102" i="9"/>
  <c r="G707" i="39" a="1"/>
  <c r="D903" i="39" a="1"/>
  <c r="B76" i="12"/>
  <c r="AD222" i="9"/>
  <c r="G1024" i="39" a="1"/>
  <c r="F101" i="39" a="1"/>
  <c r="AD3884" i="9"/>
  <c r="AD2282" i="9"/>
  <c r="F834" i="39" a="1"/>
  <c r="F953" i="39" a="1"/>
  <c r="AD366" i="9"/>
  <c r="AD4152" i="9"/>
  <c r="F223" i="39" a="1"/>
  <c r="AD953" i="9"/>
  <c r="AD2932" i="9"/>
  <c r="AD2371" i="9"/>
  <c r="AD3065" i="9"/>
  <c r="AD356" i="9"/>
  <c r="G949" i="39" a="1"/>
  <c r="G726" i="39" a="1"/>
  <c r="H879" i="39" a="1"/>
  <c r="AD1565" i="9"/>
  <c r="D237" i="39" a="1"/>
  <c r="AD2664" i="9"/>
  <c r="D750" i="39" a="1"/>
  <c r="AD4405" i="9"/>
  <c r="AD1926" i="9"/>
  <c r="B159" i="12"/>
  <c r="AD2019" i="9"/>
  <c r="G437" i="39" a="1"/>
  <c r="I918" i="39" a="1"/>
  <c r="G869" i="39" a="1"/>
  <c r="G892" i="39" a="1"/>
  <c r="AD821" i="9"/>
  <c r="I251" i="39" a="1"/>
  <c r="AD1756" i="9"/>
  <c r="G317" i="39" a="1"/>
  <c r="E763" i="39" a="1"/>
  <c r="I23" i="39" a="1"/>
  <c r="AD4021" i="9"/>
  <c r="AD1718" i="9"/>
  <c r="AD2506" i="9"/>
  <c r="B132" i="12"/>
  <c r="AD1089" i="9"/>
  <c r="B53" i="12"/>
  <c r="F590" i="39" a="1"/>
  <c r="AD226" i="9"/>
  <c r="AD2025" i="9"/>
  <c r="E674" i="39" a="1"/>
  <c r="C652" i="39" a="1"/>
  <c r="AD4490" i="9"/>
  <c r="G364" i="39" a="1"/>
  <c r="G610" i="39" a="1"/>
  <c r="AD583" i="9"/>
  <c r="AD4165" i="9"/>
  <c r="AD879" i="9"/>
  <c r="AD1733" i="9"/>
  <c r="AD3393" i="9"/>
  <c r="E218" i="39" a="1"/>
  <c r="AD3152" i="9"/>
  <c r="C855" i="39" a="1"/>
  <c r="D229" i="39" a="1"/>
  <c r="AD1185" i="9"/>
  <c r="AD4329" i="9"/>
  <c r="D599" i="39" a="1"/>
  <c r="AD2466" i="9"/>
  <c r="AD2559" i="9"/>
  <c r="D1021" i="39" a="1"/>
  <c r="E824" i="39" a="1"/>
  <c r="E606" i="39" a="1"/>
  <c r="AD3797" i="9"/>
  <c r="AD2309" i="9"/>
  <c r="AD161" i="9"/>
  <c r="H164" i="39" a="1"/>
  <c r="C1015" i="39" a="1"/>
  <c r="AD3213" i="9"/>
  <c r="AD2674" i="9"/>
  <c r="AD4059" i="9"/>
  <c r="F258" i="39" a="1"/>
  <c r="H435" i="39" a="1"/>
  <c r="G813" i="39" a="1"/>
  <c r="E682" i="39" a="1"/>
  <c r="AD1723" i="9"/>
  <c r="I708" i="39" a="1"/>
  <c r="F727" i="39" a="1"/>
  <c r="AD1238" i="9"/>
  <c r="AD4182" i="9"/>
  <c r="AD3723" i="9"/>
  <c r="AD3029" i="9"/>
  <c r="AD4483" i="9"/>
  <c r="F210" i="39" a="1"/>
  <c r="H895" i="39" a="1"/>
  <c r="C876" i="39" a="1"/>
  <c r="C968" i="39" a="1"/>
  <c r="F542" i="39" a="1"/>
  <c r="AD3244" i="9"/>
  <c r="D669" i="39" a="1"/>
  <c r="F476" i="39" a="1"/>
  <c r="AD3241" i="9"/>
  <c r="F792" i="39" a="1"/>
  <c r="F963" i="39" a="1"/>
  <c r="C731" i="39" a="1"/>
  <c r="AD1125" i="9"/>
  <c r="AD1931" i="9"/>
  <c r="H226" i="39" a="1"/>
  <c r="AD18" i="9"/>
  <c r="D918" i="39" a="1"/>
  <c r="D801" i="39" a="1"/>
  <c r="H971" i="39" a="1"/>
  <c r="C314" i="39" a="1"/>
  <c r="AD2739" i="9"/>
  <c r="AD569" i="9"/>
  <c r="AD1371" i="9"/>
  <c r="AD1758" i="9"/>
  <c r="AD138" i="9"/>
  <c r="E836" i="39" a="1"/>
  <c r="F782" i="39" a="1"/>
  <c r="F804" i="39" a="1"/>
  <c r="G890" i="39" a="1"/>
  <c r="AD1420" i="9"/>
  <c r="I557" i="39" a="1"/>
  <c r="AD3024" i="9"/>
  <c r="C640" i="39" a="1"/>
  <c r="F469" i="39" a="1"/>
  <c r="H247" i="39" a="1"/>
  <c r="H892" i="39" a="1"/>
  <c r="AD3664" i="9"/>
  <c r="G148" i="39" a="1"/>
  <c r="AD584" i="9"/>
  <c r="B151" i="12"/>
  <c r="F959" i="39" a="1"/>
  <c r="AD4134" i="9"/>
  <c r="I318" i="39" a="1"/>
  <c r="AD2122" i="9"/>
  <c r="AD934" i="9"/>
  <c r="H609" i="39" a="1"/>
  <c r="AD37" i="9"/>
  <c r="H597" i="39" a="1"/>
  <c r="AD408" i="9"/>
  <c r="C177" i="39" a="1"/>
  <c r="AD1259" i="9"/>
  <c r="I197" i="39" a="1"/>
  <c r="H826" i="39" a="1"/>
  <c r="C573" i="39" a="1"/>
  <c r="F121" i="39" a="1"/>
  <c r="E696" i="39" a="1"/>
  <c r="AD3597" i="9"/>
  <c r="G944" i="39" a="1"/>
  <c r="AD4312" i="9"/>
  <c r="G351" i="39" a="1"/>
  <c r="E262" i="39" a="1"/>
  <c r="D370" i="39" a="1"/>
  <c r="E459" i="39" a="1"/>
  <c r="AD2107" i="9"/>
  <c r="AD1774" i="9"/>
  <c r="AD3322" i="9"/>
  <c r="AD2596" i="9"/>
  <c r="AD1555" i="9"/>
  <c r="F232" i="39" a="1"/>
  <c r="D399" i="39" a="1"/>
  <c r="I934" i="39" a="1"/>
  <c r="F362" i="39" a="1"/>
  <c r="I191" i="39" a="1"/>
  <c r="E877" i="39" a="1"/>
  <c r="AD2439" i="9"/>
  <c r="I781" i="39" a="1"/>
  <c r="E348" i="39" a="1"/>
  <c r="G556" i="39" a="1"/>
  <c r="AD4007" i="9"/>
  <c r="B147" i="12"/>
  <c r="I852" i="39" a="1"/>
  <c r="E901" i="39" a="1"/>
  <c r="H280" i="39" a="1"/>
  <c r="E409" i="39" a="1"/>
  <c r="C104" i="39" a="1"/>
  <c r="AD596" i="9"/>
  <c r="AD3747" i="9"/>
  <c r="AD2595" i="9"/>
  <c r="F390" i="39" a="1"/>
  <c r="AD3190" i="9"/>
  <c r="F247" i="39" a="1"/>
  <c r="D343" i="39" a="1"/>
  <c r="D266" i="39" a="1"/>
  <c r="AD1471" i="9"/>
  <c r="I51" i="39" a="1"/>
  <c r="E285" i="39" a="1"/>
  <c r="AD4189" i="9"/>
  <c r="AD3771" i="9"/>
  <c r="H753" i="39" a="1"/>
  <c r="G444" i="39" a="1"/>
  <c r="AD2796" i="9"/>
  <c r="AD3711" i="9"/>
  <c r="AD947" i="9"/>
  <c r="E457" i="39" a="1"/>
  <c r="I995" i="39" a="1"/>
  <c r="D905" i="39" a="1"/>
  <c r="D14" i="39" a="1"/>
  <c r="H293" i="39" a="1"/>
  <c r="AD2526" i="9"/>
  <c r="E942" i="39" a="1"/>
  <c r="I95" i="39" a="1"/>
  <c r="H914" i="39" a="1"/>
  <c r="AD2311" i="9"/>
  <c r="AD4292" i="9"/>
  <c r="AD4039" i="9"/>
  <c r="C155" i="39" a="1"/>
  <c r="H182" i="39" a="1"/>
  <c r="AD1137" i="9"/>
  <c r="C458" i="39" a="1"/>
  <c r="C818" i="39" a="1"/>
  <c r="C506" i="39" a="1"/>
  <c r="AD3056" i="9"/>
  <c r="G904" i="39" a="1"/>
  <c r="AD3996" i="9"/>
  <c r="D75" i="39" a="1"/>
  <c r="AD2457" i="9"/>
  <c r="B26" i="12"/>
  <c r="F752" i="39" a="1"/>
  <c r="AD1993" i="9"/>
  <c r="AD4234" i="9"/>
  <c r="AD1702" i="9"/>
  <c r="C245" i="39" a="1"/>
  <c r="E667" i="39" a="1"/>
  <c r="G465" i="39" a="1"/>
  <c r="C959" i="39" a="1"/>
  <c r="E905" i="39" a="1"/>
  <c r="G1019" i="39" a="1"/>
  <c r="F839" i="39" a="1"/>
  <c r="AD264" i="9"/>
  <c r="B35" i="12"/>
  <c r="B136" i="12"/>
  <c r="C217" i="39" a="1"/>
  <c r="E269" i="39" a="1"/>
  <c r="AD3330" i="9"/>
  <c r="F533" i="39" a="1"/>
  <c r="AD390" i="9"/>
  <c r="D554" i="39" a="1"/>
  <c r="H921" i="39" a="1"/>
  <c r="I679" i="39" a="1"/>
  <c r="D502" i="39" a="1"/>
  <c r="E318" i="39" a="1"/>
  <c r="AD1260" i="9"/>
  <c r="AD3934" i="9"/>
  <c r="AD1216" i="9"/>
  <c r="AD1675" i="9"/>
  <c r="AD3858" i="9"/>
  <c r="G608" i="39" a="1"/>
  <c r="F678" i="39" a="1"/>
  <c r="G798" i="39" a="1"/>
  <c r="I601" i="39" a="1"/>
  <c r="D1006" i="39" a="1"/>
  <c r="G109" i="39" a="1"/>
  <c r="AD4222" i="9"/>
  <c r="C27" i="39" a="1"/>
  <c r="I37" i="39" a="1"/>
  <c r="I611" i="39" a="1"/>
  <c r="H250" i="39" a="1"/>
  <c r="D742" i="39" a="1"/>
  <c r="G880" i="39" a="1"/>
  <c r="H663" i="39" a="1"/>
  <c r="H309" i="39" a="1"/>
  <c r="C552" i="39" a="1"/>
  <c r="AD622" i="9"/>
  <c r="AD80" i="9"/>
  <c r="I91" i="39" a="1"/>
  <c r="AD3777" i="9"/>
  <c r="AD3302" i="9"/>
  <c r="AD2398" i="9"/>
  <c r="C986" i="39" a="1"/>
  <c r="AD3117" i="9"/>
  <c r="AD1965" i="9"/>
  <c r="AD881" i="9"/>
  <c r="E772" i="39" a="1"/>
  <c r="AD2937" i="9"/>
  <c r="AD4371" i="9"/>
  <c r="AD3075" i="9"/>
  <c r="E896" i="39" a="1"/>
  <c r="AD3743" i="9"/>
  <c r="AD915" i="9"/>
  <c r="G1005" i="39" a="1"/>
  <c r="F952" i="39" a="1"/>
  <c r="G411" i="39" a="1"/>
  <c r="G940" i="39" a="1"/>
  <c r="AD2284" i="9"/>
  <c r="AD864" i="9"/>
  <c r="AD4238" i="9"/>
  <c r="G550" i="39" a="1"/>
  <c r="AD3925" i="9"/>
  <c r="F142" i="39" a="1"/>
  <c r="AD4372" i="9"/>
  <c r="E571" i="39" a="1"/>
  <c r="E1018" i="39" a="1"/>
  <c r="D485" i="39" a="1"/>
  <c r="H334" i="39" a="1"/>
  <c r="H306" i="39" a="1"/>
  <c r="AD1598" i="9"/>
  <c r="AD2072" i="9"/>
  <c r="AD3991" i="9"/>
  <c r="AD3587" i="9"/>
  <c r="I890" i="39" a="1"/>
  <c r="I866" i="39" a="1"/>
  <c r="AD4327" i="9"/>
  <c r="H830" i="39" a="1"/>
  <c r="G840" i="39" a="1"/>
  <c r="AD587" i="9"/>
  <c r="AD1207" i="9"/>
  <c r="C665" i="39" a="1"/>
  <c r="H723" i="39" a="1"/>
  <c r="C330" i="39" a="1"/>
  <c r="AD950" i="9"/>
  <c r="G306" i="39" a="1"/>
  <c r="AD1655" i="9"/>
  <c r="G590" i="39" a="1"/>
  <c r="D814" i="39" a="1"/>
  <c r="F189" i="39" a="1"/>
  <c r="C1002" i="39" a="1"/>
  <c r="AD3492" i="9"/>
  <c r="F1007" i="39" a="1"/>
  <c r="AD3692" i="9"/>
  <c r="G725" i="39" a="1"/>
  <c r="AD3229" i="9"/>
  <c r="AD4309" i="9"/>
  <c r="AD863" i="9"/>
  <c r="C60" i="39" a="1"/>
  <c r="C743" i="39" a="1"/>
  <c r="AD1952" i="9"/>
  <c r="C537" i="39" a="1"/>
  <c r="AD175" i="9"/>
  <c r="AD2764" i="9"/>
  <c r="E946" i="39" a="1"/>
  <c r="AD4420" i="9"/>
  <c r="E753" i="39" a="1"/>
  <c r="AD3657" i="9"/>
  <c r="AD857" i="9"/>
  <c r="G582" i="39" a="1"/>
  <c r="AD1877" i="9"/>
  <c r="AD348" i="9"/>
  <c r="E664" i="39" a="1"/>
  <c r="D567" i="39" a="1"/>
  <c r="AD1145" i="9"/>
  <c r="AD3642" i="9"/>
  <c r="B16" i="12"/>
  <c r="D642" i="39" a="1"/>
  <c r="AD2807" i="9"/>
  <c r="AD1044" i="9"/>
  <c r="I657" i="39" a="1"/>
  <c r="D604" i="39" a="1"/>
  <c r="AD1393" i="9"/>
  <c r="AD2373" i="9"/>
  <c r="C695" i="39" a="1"/>
  <c r="AD1113" i="9"/>
  <c r="AD3467" i="9"/>
  <c r="AD3519" i="9"/>
  <c r="H395" i="39" a="1"/>
  <c r="AD2593" i="9"/>
  <c r="AD4344" i="9"/>
  <c r="AD847" i="9"/>
  <c r="E891" i="39" a="1"/>
  <c r="G179" i="39" a="1"/>
  <c r="AD3342" i="9"/>
  <c r="AD1006" i="9"/>
  <c r="AD502" i="9"/>
  <c r="H615" i="39" a="1"/>
  <c r="AD2418" i="9"/>
  <c r="F539" i="39" a="1"/>
  <c r="H792" i="39" a="1"/>
  <c r="G818" i="39" a="1"/>
  <c r="AD1843" i="9"/>
  <c r="AD4104" i="9"/>
  <c r="AD801" i="9"/>
  <c r="AD3136" i="9"/>
  <c r="E387" i="39" a="1"/>
  <c r="H605" i="39" a="1"/>
  <c r="G894" i="39" a="1"/>
  <c r="I50" i="9"/>
  <c r="AD2110" i="9"/>
  <c r="C724" i="39" a="1"/>
  <c r="AD363" i="9"/>
  <c r="H568" i="39" a="1"/>
  <c r="AD871" i="9"/>
  <c r="E940" i="39" a="1"/>
  <c r="C572" i="39" a="1"/>
  <c r="AD3696" i="9"/>
  <c r="C422" i="39" a="1"/>
  <c r="G939" i="39" a="1"/>
  <c r="D697" i="39" a="1"/>
  <c r="G117" i="39" a="1"/>
  <c r="F437" i="39" a="1"/>
  <c r="AD1312" i="9"/>
  <c r="E399" i="39" a="1"/>
  <c r="C307" i="39" a="1"/>
  <c r="AD3545" i="9"/>
  <c r="C241" i="39" a="1"/>
  <c r="AD4160" i="9"/>
  <c r="AD624" i="9"/>
  <c r="AD3201" i="9"/>
  <c r="AD4213" i="9"/>
  <c r="AD3349" i="9"/>
  <c r="B99" i="12"/>
  <c r="H501" i="39" a="1"/>
  <c r="AD4064" i="9"/>
  <c r="I260" i="39" a="1"/>
  <c r="F698" i="39" a="1"/>
  <c r="AD329" i="9"/>
  <c r="AD2813" i="9"/>
  <c r="D746" i="39" a="1"/>
  <c r="AD4477" i="9"/>
  <c r="G722" i="39" a="1"/>
  <c r="AD2821" i="9"/>
  <c r="C332" i="39" a="1"/>
  <c r="AD3444" i="9"/>
  <c r="C799" i="39" a="1"/>
  <c r="I394" i="39" a="1"/>
  <c r="AD2931" i="9"/>
  <c r="C576" i="39" a="1"/>
  <c r="G917" i="39" a="1"/>
  <c r="B3" i="12"/>
  <c r="C766" i="39" a="1"/>
  <c r="AD1466" i="9"/>
  <c r="H727" i="39" a="1"/>
  <c r="I97" i="39" a="1"/>
  <c r="E879" i="39" a="1"/>
  <c r="AD1031" i="9"/>
  <c r="F574" i="39" a="1"/>
  <c r="E939" i="39" a="1"/>
  <c r="E902" i="39" a="1"/>
  <c r="F882" i="39" a="1"/>
  <c r="AD2806" i="9"/>
  <c r="E580" i="39" a="1"/>
  <c r="I797" i="39" a="1"/>
  <c r="G237" i="39" a="1"/>
  <c r="F977" i="39" a="1"/>
  <c r="H991" i="39" a="1"/>
  <c r="C983" i="39" a="1"/>
  <c r="AD616" i="9"/>
  <c r="AD966" i="9"/>
  <c r="H214" i="39" a="1"/>
  <c r="AD763" i="9"/>
  <c r="D196" i="39" a="1"/>
  <c r="G488" i="39" a="1"/>
  <c r="C327" i="39" a="1"/>
  <c r="C816" i="39" a="1"/>
  <c r="I722" i="39" a="1"/>
  <c r="AD2785" i="9"/>
  <c r="D178" i="39" a="1"/>
  <c r="D737" i="39" a="1"/>
  <c r="AD4332" i="9"/>
  <c r="D139" i="39" a="1"/>
  <c r="AD3983" i="9"/>
  <c r="D580" i="39" a="1"/>
  <c r="AD3139" i="9"/>
  <c r="F160" i="39" a="1"/>
  <c r="H184" i="39" a="1"/>
  <c r="AD31" i="9"/>
  <c r="E168" i="39" a="1"/>
  <c r="H995" i="39" a="1"/>
  <c r="AD2358" i="9"/>
  <c r="H875" i="39" a="1"/>
  <c r="AD4175" i="9"/>
  <c r="AD2339" i="9"/>
  <c r="G851" i="39" a="1"/>
  <c r="F183" i="39" a="1"/>
  <c r="F728" i="39" a="1"/>
  <c r="AD1387" i="9"/>
  <c r="AD2808" i="9"/>
  <c r="C204" i="39" a="1"/>
  <c r="E887" i="39" a="1"/>
  <c r="AD1067" i="9"/>
  <c r="AD2709" i="9"/>
  <c r="AD2041" i="9"/>
  <c r="I5" i="39" a="1"/>
  <c r="AD2018" i="9"/>
  <c r="AD2486" i="9"/>
  <c r="AD2480" i="9"/>
  <c r="I466" i="39" a="1"/>
  <c r="C896" i="39" a="1"/>
  <c r="AD4395" i="9"/>
  <c r="AD3054" i="9"/>
  <c r="AD817" i="9"/>
  <c r="G265" i="39" a="1"/>
  <c r="AD1867" i="9"/>
  <c r="AD1585" i="9"/>
  <c r="H649" i="39" a="1"/>
  <c r="C616" i="39" a="1"/>
  <c r="AD3967" i="9"/>
  <c r="AD301" i="9"/>
  <c r="F661" i="39" a="1"/>
  <c r="AD2776" i="9"/>
  <c r="AD14" i="9"/>
  <c r="AD1574" i="9"/>
  <c r="H583" i="39" a="1"/>
  <c r="AD3487" i="9"/>
  <c r="AD4107" i="9"/>
  <c r="H794" i="39" a="1"/>
  <c r="AD2362" i="9"/>
  <c r="E736" i="39" a="1"/>
  <c r="AD3081" i="9"/>
  <c r="AD1285" i="9"/>
  <c r="I435" i="39" a="1"/>
  <c r="AD84" i="9"/>
  <c r="C248" i="39" a="1"/>
  <c r="AD1989" i="9"/>
  <c r="G225" i="39" a="1"/>
  <c r="D790" i="39" a="1"/>
  <c r="G367" i="39" a="1"/>
  <c r="C324" i="39" a="1"/>
  <c r="D357" i="39" a="1"/>
  <c r="G1006" i="39" a="1"/>
  <c r="I574" i="39" a="1"/>
  <c r="H524" i="39" a="1"/>
  <c r="E834" i="39" a="1"/>
  <c r="AD1003" i="9"/>
  <c r="AD1608" i="9"/>
  <c r="D973" i="39" a="1"/>
  <c r="H223" i="39" a="1"/>
  <c r="AD3078" i="9"/>
  <c r="H400" i="39" a="1"/>
  <c r="AD4149" i="9"/>
  <c r="AD1345" i="9"/>
  <c r="D345" i="39" a="1"/>
  <c r="C301" i="39" a="1"/>
  <c r="E70" i="39" a="1"/>
  <c r="AD1611" i="9"/>
  <c r="D539" i="39" a="1"/>
  <c r="AD4235" i="9"/>
  <c r="AD300" i="9"/>
  <c r="E22" i="39" a="1"/>
  <c r="H768" i="39" a="1"/>
  <c r="H832" i="39" a="1"/>
  <c r="E241" i="39" a="1"/>
  <c r="E83" i="39" a="1"/>
  <c r="F929" i="39" a="1"/>
  <c r="I525" i="39" a="1"/>
  <c r="AD929" i="9"/>
  <c r="F515" i="39" a="1"/>
  <c r="AD2791" i="9"/>
  <c r="AD3143" i="9"/>
  <c r="E888" i="39" a="1"/>
  <c r="AD158" i="9"/>
  <c r="AD581" i="9"/>
  <c r="AD2478" i="9"/>
  <c r="AD3927" i="9"/>
  <c r="F60" i="39" a="1"/>
  <c r="H246" i="39" a="1"/>
  <c r="AD450" i="9"/>
  <c r="AD1392" i="9"/>
  <c r="AD1423" i="9"/>
  <c r="I1003" i="39" a="1"/>
  <c r="AD2634" i="9"/>
  <c r="AD695" i="9"/>
  <c r="AD3538" i="9"/>
  <c r="AD4416" i="9"/>
  <c r="AD2922" i="9"/>
  <c r="D195" i="39" a="1"/>
  <c r="C966" i="39" a="1"/>
  <c r="AD2251" i="9"/>
  <c r="AD1300" i="9"/>
  <c r="AD1664" i="9"/>
  <c r="AD1025" i="9"/>
  <c r="AD4142" i="9"/>
  <c r="F693" i="39" a="1"/>
  <c r="AD3384" i="9"/>
  <c r="AD1478" i="9"/>
  <c r="AD3016" i="9"/>
  <c r="I602" i="39" a="1"/>
  <c r="H457" i="39" a="1"/>
  <c r="D755" i="39" a="1"/>
  <c r="AD2830" i="9"/>
  <c r="F660" i="39" a="1"/>
  <c r="AD4295" i="9"/>
  <c r="AD3990" i="9"/>
  <c r="D454" i="39" a="1"/>
  <c r="AD2190" i="9"/>
  <c r="F697" i="39" a="1"/>
  <c r="AD433" i="9"/>
  <c r="AD919" i="9"/>
  <c r="AD3759" i="9"/>
  <c r="F686" i="39" a="1"/>
  <c r="F617" i="39" a="1"/>
  <c r="H428" i="39" a="1"/>
  <c r="AD2313" i="9"/>
  <c r="I681" i="39" a="1"/>
  <c r="AD461" i="9"/>
  <c r="AD3205" i="9"/>
  <c r="I507" i="39" a="1"/>
  <c r="E493" i="39" a="1"/>
  <c r="AD650" i="9"/>
  <c r="G456" i="39" a="1"/>
  <c r="F233" i="39" a="1"/>
  <c r="AD3605" i="9"/>
  <c r="AD3427" i="9"/>
  <c r="G14" i="39" a="1"/>
  <c r="C383" i="39" a="1"/>
  <c r="AD1408" i="9"/>
  <c r="AD4173" i="9"/>
  <c r="D227" i="39" a="1"/>
  <c r="E217" i="39" a="1"/>
  <c r="H807" i="39" a="1"/>
  <c r="I756" i="39" a="1"/>
  <c r="AD2397" i="9"/>
  <c r="F77" i="39" a="1"/>
  <c r="H834" i="39" a="1"/>
  <c r="AD4324" i="9"/>
  <c r="AD225" i="9"/>
  <c r="AD2086" i="9"/>
  <c r="AD22" i="9"/>
  <c r="G135" i="39" a="1"/>
  <c r="B47" i="12"/>
  <c r="AD667" i="9"/>
  <c r="AD1629" i="9"/>
  <c r="AD846" i="9"/>
  <c r="AD2281" i="9"/>
  <c r="F711" i="39" a="1"/>
  <c r="G185" i="39" a="1"/>
  <c r="C748" i="39" a="1"/>
  <c r="AD3370" i="9"/>
  <c r="AD2873" i="9"/>
  <c r="E586" i="39" a="1"/>
  <c r="G22" i="39" a="1"/>
  <c r="C343" i="39" a="1"/>
  <c r="AD1970" i="9"/>
  <c r="D74" i="39" a="1"/>
  <c r="E370" i="39" a="1"/>
  <c r="I567" i="39" a="1"/>
  <c r="AD2085" i="9"/>
  <c r="D673" i="39" a="1"/>
  <c r="AD3679" i="9"/>
  <c r="AD2436" i="9"/>
  <c r="AD2254" i="9"/>
  <c r="H705" i="39" a="1"/>
  <c r="C397" i="39" a="1"/>
  <c r="AD913" i="9"/>
  <c r="AD1165" i="9"/>
  <c r="F584" i="39" a="1"/>
  <c r="AD1286" i="9"/>
  <c r="E506" i="39" a="1"/>
  <c r="AD1833" i="9"/>
  <c r="D624" i="39" a="1"/>
  <c r="AD4130" i="9"/>
  <c r="H301" i="39" a="1"/>
  <c r="AD734" i="9"/>
  <c r="C909" i="39" a="1"/>
  <c r="AD4120" i="9"/>
  <c r="D730" i="39" a="1"/>
  <c r="I470" i="39" a="1"/>
  <c r="I377" i="39" a="1"/>
  <c r="I216" i="39" a="1"/>
  <c r="AD2867" i="9"/>
  <c r="AD312" i="9"/>
  <c r="AD3235" i="9"/>
  <c r="B94" i="12"/>
  <c r="I330" i="39" a="1"/>
  <c r="I293" i="39" a="1"/>
  <c r="I250" i="39" a="1"/>
  <c r="AD1470" i="9"/>
  <c r="F338" i="39" a="1"/>
  <c r="C443" i="39" a="1"/>
  <c r="C175" i="39" a="1"/>
  <c r="AD425" i="9"/>
  <c r="I213" i="39" a="1"/>
  <c r="G628" i="39" a="1"/>
  <c r="AD2576" i="9"/>
  <c r="AD2460" i="9"/>
  <c r="I414" i="39" a="1"/>
  <c r="AD865" i="9"/>
  <c r="AD4147" i="9"/>
  <c r="AD2484" i="9"/>
  <c r="C729" i="39" a="1"/>
  <c r="D941" i="39" a="1"/>
  <c r="H313" i="39" a="1"/>
  <c r="C28" i="39" a="1"/>
  <c r="I759" i="39" a="1"/>
  <c r="AD1799" i="9"/>
  <c r="E948" i="39" a="1"/>
  <c r="AD4352" i="9"/>
  <c r="AD3609" i="9"/>
  <c r="H819" i="39" a="1"/>
  <c r="C939" i="39" a="1"/>
  <c r="E700" i="39" a="1"/>
  <c r="AD825" i="9"/>
  <c r="C164" i="39" a="1"/>
  <c r="AD2203" i="9"/>
  <c r="G979" i="39" a="1"/>
  <c r="AD4255" i="9"/>
  <c r="E689" i="39" a="1"/>
  <c r="AD4251" i="9"/>
  <c r="E564" i="39" a="1"/>
  <c r="AD1324" i="9"/>
  <c r="C377" i="39" a="1"/>
  <c r="H968" i="39" a="1"/>
  <c r="D69" i="39" a="1"/>
  <c r="F3" i="39" a="1"/>
  <c r="AD2428" i="9"/>
  <c r="H741" i="39" a="1"/>
  <c r="AD1035" i="9"/>
  <c r="F831" i="39" a="1"/>
  <c r="AD1934" i="9"/>
  <c r="AD1512" i="9"/>
  <c r="AD3750" i="9"/>
  <c r="AD4114" i="9"/>
  <c r="AD2554" i="9"/>
  <c r="G970" i="39" a="1"/>
  <c r="D959" i="39" a="1"/>
  <c r="F528" i="39" a="1"/>
  <c r="AD1517" i="9"/>
  <c r="AD1348" i="9"/>
  <c r="AD647" i="9"/>
  <c r="AD1182" i="9"/>
  <c r="AD2962" i="9"/>
  <c r="C471" i="39" a="1"/>
  <c r="G800" i="39" a="1"/>
  <c r="AD1010" i="9"/>
  <c r="E845" i="39" a="1"/>
  <c r="F559" i="39" a="1"/>
  <c r="C277" i="39" a="1"/>
  <c r="H168" i="39" a="1"/>
  <c r="AD1531" i="9"/>
  <c r="AD1329" i="9"/>
  <c r="E687" i="39" a="1"/>
  <c r="G868" i="39" a="1"/>
  <c r="C408" i="39" a="1"/>
  <c r="F271" i="39" a="1"/>
  <c r="AD3591" i="9"/>
  <c r="D569" i="39" a="1"/>
  <c r="B50" i="12"/>
  <c r="E968" i="39" a="1"/>
  <c r="AD2337" i="9"/>
  <c r="I340" i="39" a="1"/>
  <c r="AD2529" i="9"/>
  <c r="AD3552" i="9"/>
  <c r="H561" i="39" a="1"/>
  <c r="I118" i="39" a="1"/>
  <c r="AD626" i="9"/>
  <c r="E608" i="39" a="1"/>
  <c r="AD4506" i="9"/>
  <c r="H997" i="39" a="1"/>
  <c r="E372" i="39" a="1"/>
  <c r="D504" i="39" a="1"/>
  <c r="B59" i="12"/>
  <c r="AD1023" i="9"/>
  <c r="AD4124" i="9"/>
  <c r="H323" i="39" a="1"/>
  <c r="E752" i="39" a="1"/>
  <c r="I854" i="39" a="1"/>
  <c r="H1000" i="39" a="1"/>
  <c r="G31" i="39" a="1"/>
  <c r="H736" i="39" a="1"/>
  <c r="AD3124" i="9"/>
  <c r="AD3549" i="9"/>
  <c r="F949" i="39" a="1"/>
  <c r="AD2935" i="9"/>
  <c r="D271" i="39" a="1"/>
  <c r="AD3338" i="9"/>
  <c r="AD2456" i="9"/>
  <c r="AD1599" i="9"/>
  <c r="G33" i="39" a="1"/>
  <c r="F543" i="39" a="1"/>
  <c r="I415" i="39" a="1"/>
  <c r="D897" i="39" a="1"/>
  <c r="AD1456" i="9"/>
  <c r="H909" i="39" a="1"/>
  <c r="AD661" i="9"/>
  <c r="C91" i="39" a="1"/>
  <c r="E843" i="39" a="1"/>
  <c r="E423" i="39" a="1"/>
  <c r="AD1826" i="9"/>
  <c r="B166" i="12"/>
  <c r="E751" i="39" a="1"/>
  <c r="F615" i="39" a="1"/>
  <c r="G591" i="39" a="1"/>
  <c r="AD2829" i="9"/>
  <c r="AD3279" i="9"/>
  <c r="E496" i="39" a="1"/>
  <c r="AD1665" i="9"/>
  <c r="AD331" i="9"/>
  <c r="AD981" i="9"/>
  <c r="AD2967" i="9"/>
  <c r="AD1621" i="9"/>
  <c r="AD3580" i="9"/>
  <c r="I977" i="39" a="1"/>
  <c r="AD2163" i="9"/>
  <c r="AD4137" i="9"/>
  <c r="H645" i="39" a="1"/>
  <c r="D334" i="39" a="1"/>
  <c r="D912" i="39" a="1"/>
  <c r="C437" i="39" a="1"/>
  <c r="E853" i="39" a="1"/>
  <c r="AD4141" i="9"/>
  <c r="C752" i="39" a="1"/>
  <c r="AD2274" i="9"/>
  <c r="E649" i="39" a="1"/>
  <c r="C683" i="39" a="1"/>
  <c r="AD2452" i="9"/>
  <c r="AD3547" i="9"/>
  <c r="H51" i="39" a="1"/>
  <c r="AD3619" i="9"/>
  <c r="H862" i="39" a="1"/>
  <c r="AD4162" i="9"/>
  <c r="AD3878" i="9"/>
  <c r="AD4253" i="9"/>
  <c r="AD4195" i="9"/>
  <c r="H276" i="39" a="1"/>
  <c r="AD719" i="9"/>
  <c r="AD4188" i="9"/>
  <c r="AD4128" i="9"/>
  <c r="G943" i="39" a="1"/>
  <c r="AD353" i="9"/>
  <c r="D785" i="39" a="1"/>
  <c r="I698" i="39" a="1"/>
  <c r="G145" i="39" a="1"/>
  <c r="F522" i="39" a="1"/>
  <c r="F794" i="39" a="1"/>
  <c r="F1022" i="39" a="1"/>
  <c r="C116" i="39" a="1"/>
  <c r="E477" i="39" a="1"/>
  <c r="AD3894" i="9"/>
  <c r="AD2669" i="9"/>
  <c r="AD657" i="9"/>
  <c r="AD2896" i="9"/>
  <c r="D102" i="39" a="1"/>
  <c r="AD349" i="9"/>
  <c r="H411" i="39" a="1"/>
  <c r="H144" i="39" a="1"/>
  <c r="E889" i="39" a="1"/>
  <c r="AD1587" i="9"/>
  <c r="AD540" i="9"/>
  <c r="I451" i="39" a="1"/>
  <c r="F1001" i="39" a="1"/>
  <c r="AD4291" i="9"/>
  <c r="AD185" i="9"/>
  <c r="I806" i="39" a="1"/>
  <c r="H795" i="39" a="1"/>
  <c r="AD3004" i="9"/>
  <c r="H790" i="39" a="1"/>
  <c r="D819" i="39" a="1"/>
  <c r="F871" i="39" a="1"/>
  <c r="D419" i="39" a="1"/>
  <c r="D917" i="39" a="1"/>
  <c r="AD4478" i="9"/>
  <c r="AD1583" i="9"/>
  <c r="AD755" i="9"/>
  <c r="D753" i="39" a="1"/>
  <c r="F996" i="39" a="1"/>
  <c r="D516" i="39" a="1"/>
  <c r="AD612" i="9"/>
  <c r="E734" i="39" a="1"/>
  <c r="AD633" i="9"/>
  <c r="G126" i="39" a="1"/>
  <c r="C220" i="39" a="1"/>
  <c r="AD2280" i="9"/>
  <c r="AD3877" i="9"/>
  <c r="AD1744" i="9"/>
  <c r="E366" i="39" a="1"/>
  <c r="G316" i="39" a="1"/>
  <c r="E109" i="39" a="1"/>
  <c r="F164" i="39" a="1"/>
  <c r="AD1086" i="9"/>
  <c r="AD3273" i="9"/>
  <c r="G138" i="39" a="1"/>
  <c r="D325" i="39" a="1"/>
  <c r="AD3659" i="9"/>
  <c r="I249" i="39" a="1"/>
  <c r="C435" i="39" a="1"/>
  <c r="AD1912" i="9"/>
  <c r="AD2295" i="9"/>
  <c r="AD484" i="9"/>
  <c r="AD101" i="9"/>
  <c r="C734" i="39" a="1"/>
  <c r="D777" i="39" a="1"/>
  <c r="E804" i="39" a="1"/>
  <c r="AD578" i="9"/>
  <c r="AD3258" i="9"/>
  <c r="AD3269" i="9"/>
  <c r="I261" i="39" a="1"/>
  <c r="AD1687" i="9"/>
  <c r="AD78" i="9"/>
  <c r="H857" i="39" a="1"/>
  <c r="G750" i="39" a="1"/>
  <c r="D416" i="39" a="1"/>
  <c r="AD1058" i="9"/>
  <c r="AD469" i="9"/>
  <c r="C181" i="39" a="1"/>
  <c r="AD1038" i="9"/>
  <c r="E594" i="39" a="1"/>
  <c r="F931" i="39" a="1"/>
  <c r="B27" i="12"/>
  <c r="AD4172" i="9"/>
  <c r="AD255" i="9"/>
  <c r="AD721" i="9"/>
  <c r="H664" i="39" a="1"/>
  <c r="AD1520" i="9"/>
  <c r="AD2758" i="9"/>
  <c r="AD4397" i="9"/>
  <c r="C803" i="39" a="1"/>
  <c r="C547" i="39" a="1"/>
  <c r="D331" i="39" a="1"/>
  <c r="C715" i="39" a="1"/>
  <c r="AD2637" i="9"/>
  <c r="E925" i="39" a="1"/>
  <c r="H654" i="39" a="1"/>
  <c r="D1008" i="39" a="1"/>
  <c r="C461" i="39" a="1"/>
  <c r="F133" i="39" a="1"/>
  <c r="I959" i="39" a="1"/>
  <c r="D955" i="39" a="1"/>
  <c r="D979" i="39" a="1"/>
  <c r="D374" i="39" a="1"/>
  <c r="AD603" i="9"/>
  <c r="I793" i="39" a="1"/>
  <c r="AD3113" i="9"/>
  <c r="E52" i="39" a="1"/>
  <c r="G120" i="39" a="1"/>
  <c r="B15" i="12"/>
  <c r="AD910" i="9"/>
  <c r="E875" i="39" a="1"/>
  <c r="H590" i="39" a="1"/>
  <c r="F666" i="39" a="1"/>
  <c r="AD120" i="9"/>
  <c r="C260" i="39" a="1"/>
  <c r="D779" i="39" a="1"/>
  <c r="AD3219" i="9"/>
  <c r="AD1692" i="9"/>
  <c r="G776" i="39" a="1"/>
  <c r="E133" i="39" a="1"/>
  <c r="I159" i="39" a="1"/>
  <c r="AD1219" i="9"/>
  <c r="C954" i="39" a="1"/>
  <c r="AD407" i="9"/>
  <c r="F708" i="39" a="1"/>
  <c r="AD119" i="9"/>
  <c r="AD1293" i="9"/>
  <c r="H105" i="39" a="1"/>
  <c r="AD1859" i="9"/>
  <c r="G333" i="39" a="1"/>
  <c r="C348" i="39" a="1"/>
  <c r="D429" i="39" a="1"/>
  <c r="F689" i="39" a="1"/>
  <c r="F904" i="39" a="1"/>
  <c r="E609" i="39" a="1"/>
  <c r="D314" i="39" a="1"/>
  <c r="AD1049" i="9"/>
  <c r="AD1671" i="9"/>
  <c r="D699" i="39" a="1"/>
  <c r="AD2878" i="9"/>
  <c r="G780" i="39" a="1"/>
  <c r="C317" i="39" a="1"/>
  <c r="AD2065" i="9"/>
  <c r="G706" i="39" a="1"/>
  <c r="AD4287" i="9"/>
  <c r="I593" i="39" a="1"/>
  <c r="C551" i="39" a="1"/>
  <c r="E771" i="39" a="1"/>
  <c r="AD4435" i="9"/>
  <c r="G512" i="39" a="1"/>
  <c r="AD3333" i="9"/>
  <c r="E101" i="39" a="1"/>
  <c r="AD1887" i="9"/>
  <c r="E1011" i="39" a="1"/>
  <c r="G926" i="39" a="1"/>
  <c r="F1012" i="39" a="1"/>
  <c r="C916" i="39" a="1"/>
  <c r="AD2779" i="9"/>
  <c r="F169" i="39" a="1"/>
  <c r="H931" i="39" a="1"/>
  <c r="F857" i="39" a="1"/>
  <c r="AD4340" i="9"/>
  <c r="AD1078" i="9"/>
  <c r="I599" i="39" a="1"/>
  <c r="I571" i="39" a="1"/>
  <c r="D388" i="39" a="1"/>
  <c r="H612" i="39" a="1"/>
  <c r="I181" i="39" a="1"/>
  <c r="AD1105" i="9"/>
  <c r="I134" i="39" a="1"/>
  <c r="AD1432" i="9"/>
  <c r="AD256" i="9"/>
  <c r="AD230" i="9"/>
  <c r="AD2853" i="9"/>
  <c r="F431" i="39" a="1"/>
  <c r="AD2344" i="9"/>
  <c r="H747" i="39" a="1"/>
  <c r="AD4461" i="9"/>
  <c r="I304" i="39" a="1"/>
  <c r="E831" i="39" a="1"/>
  <c r="AD993" i="9"/>
  <c r="F731" i="39" a="1"/>
  <c r="AD404" i="9"/>
  <c r="C928" i="39" a="1"/>
  <c r="E778" i="39" a="1"/>
  <c r="I849" i="39" a="1"/>
  <c r="AD1630" i="9"/>
  <c r="AD3111" i="9"/>
  <c r="AD3288" i="9"/>
  <c r="AD4403" i="9"/>
  <c r="AD1778" i="9"/>
  <c r="AD1041" i="9"/>
  <c r="E363" i="39" a="1"/>
  <c r="AD2101" i="9"/>
  <c r="AD1844" i="9"/>
  <c r="AD505" i="9"/>
  <c r="I868" i="39" a="1"/>
  <c r="AD2877" i="9"/>
  <c r="D958" i="39" a="1"/>
  <c r="B70" i="12"/>
  <c r="AD4453" i="9"/>
  <c r="AD1443" i="9"/>
  <c r="E627" i="39" a="1"/>
  <c r="E928" i="39" a="1"/>
  <c r="AD1969" i="9"/>
  <c r="F114" i="39" a="1"/>
  <c r="D605" i="39" a="1"/>
  <c r="AD3040" i="9"/>
  <c r="AD2891" i="9"/>
  <c r="C1012" i="39" a="1"/>
  <c r="AD2240" i="9"/>
  <c r="AD2386" i="9"/>
  <c r="D556" i="39" a="1"/>
  <c r="C908" i="39" a="1"/>
  <c r="I530" i="39" a="1"/>
  <c r="G959" i="39" a="1"/>
  <c r="AD3397" i="9"/>
  <c r="H123" i="39" a="1"/>
  <c r="AD3660" i="9"/>
  <c r="AD2730" i="9"/>
  <c r="I499" i="39" a="1"/>
  <c r="AD3094" i="9"/>
  <c r="AD4492" i="9"/>
  <c r="AD1889" i="9"/>
  <c r="I401" i="39" a="1"/>
  <c r="H165" i="39" a="1"/>
  <c r="AD2318" i="9"/>
  <c r="AD2826" i="9"/>
  <c r="AD68" i="9"/>
  <c r="F685" i="39" a="1"/>
  <c r="AD3315" i="9"/>
  <c r="E625" i="39" a="1"/>
  <c r="D165" i="39" a="1"/>
  <c r="C575" i="39" a="1"/>
  <c r="AD2360" i="9"/>
  <c r="AD3805" i="9"/>
  <c r="C680" i="39" a="1"/>
  <c r="AD4257" i="9"/>
  <c r="F961" i="39" a="1"/>
  <c r="G614" i="39" a="1"/>
  <c r="G473" i="39" a="1"/>
  <c r="H738" i="39" a="1"/>
  <c r="E515" i="39" a="1"/>
  <c r="AD1731" i="9"/>
  <c r="H261" i="39" a="1"/>
  <c r="AD1572" i="9"/>
  <c r="C807" i="39" a="1"/>
  <c r="H677" i="39" a="1"/>
  <c r="AD2904" i="9"/>
  <c r="AD982" i="9"/>
  <c r="AD430" i="9"/>
  <c r="AD1558" i="9"/>
  <c r="AD4278" i="9"/>
  <c r="I999" i="39" a="1"/>
  <c r="C358" i="39" a="1"/>
  <c r="AD302" i="9"/>
  <c r="I201" i="39" a="1"/>
  <c r="H604" i="39" a="1"/>
  <c r="I943" i="39" a="1"/>
  <c r="E346" i="39" a="1"/>
  <c r="D757" i="39" a="1"/>
  <c r="H937" i="39" a="1"/>
  <c r="AD1454" i="9"/>
  <c r="C390" i="39" a="1"/>
  <c r="I503" i="39" a="1"/>
  <c r="H627" i="39" a="1"/>
  <c r="D849" i="39" a="1"/>
  <c r="H65" i="39" a="1"/>
  <c r="AD495" i="9"/>
  <c r="G206" i="39" a="1"/>
  <c r="AD413" i="9"/>
  <c r="G62" i="39" a="1"/>
  <c r="H658" i="39" a="1"/>
  <c r="AD4318" i="9"/>
  <c r="C1018" i="39" a="1"/>
  <c r="I469" i="39" a="1"/>
  <c r="AD299" i="9"/>
  <c r="AD3234" i="9"/>
  <c r="C386" i="39" a="1"/>
  <c r="AD2016" i="9"/>
  <c r="I720" i="39" a="1"/>
  <c r="AD1824" i="9"/>
  <c r="AD524" i="9"/>
  <c r="AD869" i="9"/>
  <c r="AD333" i="9"/>
  <c r="G983" i="39" a="1"/>
  <c r="C726" i="39" a="1"/>
  <c r="C329" i="39" a="1"/>
  <c r="F610" i="39" a="1"/>
  <c r="I541" i="39" a="1"/>
  <c r="AD3724" i="9"/>
  <c r="AD3153" i="9"/>
  <c r="AD1080" i="9"/>
  <c r="H193" i="39" a="1"/>
  <c r="F603" i="39" a="1"/>
  <c r="E807" i="39" a="1"/>
  <c r="I126" i="39" a="1"/>
  <c r="AD3999" i="9"/>
  <c r="C325" i="39" a="1"/>
  <c r="AD2912" i="9"/>
  <c r="AD3290" i="9"/>
  <c r="AD2614" i="9"/>
  <c r="D90" i="39" a="1"/>
  <c r="AD1299" i="9"/>
  <c r="F82" i="39" a="1"/>
  <c r="I379" i="39" a="1"/>
  <c r="H198" i="39" a="1"/>
  <c r="C568" i="39" a="1"/>
  <c r="D19" i="39" a="1"/>
  <c r="AD3450" i="9"/>
  <c r="AD1135" i="9"/>
  <c r="E31" i="39" a="1"/>
  <c r="AD984" i="9"/>
  <c r="AD3486" i="9"/>
  <c r="AD432" i="9"/>
  <c r="I994" i="39" a="1"/>
  <c r="I500" i="39" a="1"/>
  <c r="H573" i="39" a="1"/>
  <c r="G240" i="39" a="1"/>
  <c r="AD3359" i="9"/>
  <c r="AD3173" i="9"/>
  <c r="AD4075" i="9"/>
  <c r="C162" i="39" a="1"/>
  <c r="G618" i="39" a="1"/>
  <c r="AD3674" i="9"/>
  <c r="G530" i="39" a="1"/>
  <c r="AD3484" i="9"/>
  <c r="H709" i="39" a="1"/>
  <c r="I264" i="39" a="1"/>
  <c r="C1004" i="39" a="1"/>
  <c r="AD27" i="9"/>
  <c r="I384" i="39" a="1"/>
  <c r="G10" i="39" a="1"/>
  <c r="F914" i="39" a="1"/>
  <c r="AD3862" i="9"/>
  <c r="AD1892" i="9"/>
  <c r="B79" i="12"/>
  <c r="I248" i="39" a="1"/>
  <c r="C895" i="39" a="1"/>
  <c r="E116" i="39" a="1"/>
  <c r="G683" i="39" a="1"/>
  <c r="C831" i="39" a="1"/>
  <c r="AD42" i="9"/>
  <c r="AD1658" i="9"/>
  <c r="AD2035" i="9"/>
  <c r="F51" i="39" a="1"/>
  <c r="D707" i="39" a="1"/>
  <c r="AD2498" i="9"/>
  <c r="E290" i="39" a="1"/>
  <c r="AD3006" i="9"/>
  <c r="AD1755" i="9"/>
  <c r="E257" i="39" a="1"/>
  <c r="D209" i="39" a="1"/>
  <c r="E61" i="39" a="1"/>
  <c r="D390" i="39" a="1"/>
  <c r="D386" i="39" a="1"/>
  <c r="F613" i="39" a="1"/>
  <c r="AD1730" i="9"/>
  <c r="AD1435" i="9"/>
  <c r="G340" i="39" a="1"/>
  <c r="AD4001" i="9"/>
  <c r="AD2381" i="9"/>
  <c r="F979" i="39" a="1"/>
  <c r="F438" i="39" a="1"/>
  <c r="AD2120" i="9"/>
  <c r="E770" i="39" a="1"/>
  <c r="C196" i="39" a="1"/>
  <c r="AD3020" i="9"/>
  <c r="AD4345" i="9"/>
  <c r="AD1981" i="9"/>
  <c r="AD652" i="9"/>
  <c r="F811" i="39" a="1"/>
  <c r="AD1579" i="9"/>
  <c r="H784" i="39" a="1"/>
  <c r="C447" i="39" a="1"/>
  <c r="G650" i="39" a="1"/>
  <c r="I879" i="39" a="1"/>
  <c r="AD2662" i="9"/>
  <c r="AD4171" i="9"/>
  <c r="AD3365" i="9"/>
  <c r="AD2909" i="9"/>
  <c r="AD3715" i="9"/>
  <c r="C923" i="39" a="1"/>
  <c r="AD20" i="9"/>
  <c r="AD1296" i="9"/>
  <c r="G739" i="39" a="1"/>
  <c r="AD3305" i="9"/>
  <c r="AD1069" i="9"/>
  <c r="G743" i="39" a="1"/>
  <c r="AD64" i="9"/>
  <c r="AD3425" i="9"/>
  <c r="AD995" i="9"/>
  <c r="H91" i="39" a="1"/>
  <c r="AD2547" i="9"/>
  <c r="I481" i="39" a="1"/>
  <c r="AD2926" i="9"/>
  <c r="AD392" i="9"/>
  <c r="D541" i="39" a="1"/>
  <c r="AD992" i="9"/>
  <c r="AD1202" i="9"/>
  <c r="AD928" i="9"/>
  <c r="AD2811" i="9"/>
  <c r="F487" i="39" a="1"/>
  <c r="H486" i="39" a="1"/>
  <c r="AD4503" i="9"/>
  <c r="C635" i="39" a="1"/>
  <c r="AD3064" i="9"/>
  <c r="F941" i="39" a="1"/>
  <c r="I992" i="39" a="1"/>
  <c r="AD3669" i="9"/>
  <c r="AD4380" i="9"/>
  <c r="E427" i="39" a="1"/>
  <c r="H195" i="39" a="1"/>
  <c r="H442" i="39" a="1"/>
  <c r="AD3194" i="9"/>
  <c r="G436" i="39" a="1"/>
  <c r="AD2400" i="9"/>
  <c r="H272" i="39" a="1"/>
  <c r="AD2881" i="9"/>
  <c r="H961" i="39" a="1"/>
  <c r="C987" i="39" a="1"/>
  <c r="AD989" i="9"/>
  <c r="F1006" i="39" a="1"/>
  <c r="AD4493" i="9"/>
  <c r="AD3646" i="9"/>
  <c r="G609" i="39" a="1"/>
  <c r="AD1381" i="9"/>
  <c r="D876" i="39" a="1"/>
  <c r="AD3430" i="9"/>
  <c r="AD822" i="9"/>
  <c r="AD2982" i="9"/>
  <c r="AD3586" i="9"/>
  <c r="AD903" i="9"/>
  <c r="I811" i="39" a="1"/>
  <c r="AD3428" i="9"/>
  <c r="AD1496" i="9"/>
  <c r="D320" i="39" a="1"/>
  <c r="E466" i="39" a="1"/>
  <c r="E225" i="39" a="1"/>
  <c r="AD3502" i="9"/>
  <c r="D739" i="39" a="1"/>
  <c r="D162" i="39" a="1"/>
  <c r="C546" i="39" a="1"/>
  <c r="F801" i="39" a="1"/>
  <c r="AD2638" i="9"/>
  <c r="I88" i="39" a="1"/>
  <c r="F445" i="39" a="1"/>
  <c r="AD3628" i="9"/>
  <c r="AD1645" i="9"/>
  <c r="I555" i="39" a="1"/>
  <c r="G508" i="39" a="1"/>
  <c r="G1017" i="39" a="1"/>
  <c r="AD3473" i="9"/>
  <c r="AD1504" i="9"/>
  <c r="C736" i="39" a="1"/>
  <c r="AD3896" i="9"/>
  <c r="F467" i="39" a="1"/>
  <c r="G500" i="39" a="1"/>
  <c r="I714" i="39" a="1"/>
  <c r="E338" i="39" a="1"/>
  <c r="AD1832" i="9"/>
  <c r="AD1654" i="9"/>
  <c r="D859" i="39" a="1"/>
  <c r="G90" i="39" a="1"/>
  <c r="H336" i="39" a="1"/>
  <c r="F115" i="39" a="1"/>
  <c r="AD3968" i="9"/>
  <c r="F465" i="39" a="1"/>
  <c r="I607" i="39" a="1"/>
  <c r="AD2545" i="9"/>
  <c r="H337" i="39" a="1"/>
  <c r="AD2575" i="9"/>
  <c r="F905" i="39" a="1"/>
  <c r="AD304" i="9"/>
  <c r="C357" i="39" a="1"/>
  <c r="D50" i="39" a="1"/>
  <c r="I1021" i="39" a="1"/>
  <c r="G66" i="39" a="1"/>
  <c r="AD3887" i="9"/>
  <c r="H103" i="39" a="1"/>
  <c r="H905" i="39" a="1"/>
  <c r="G793" i="39" a="1"/>
  <c r="C186" i="39" a="1"/>
  <c r="F517" i="39" a="1"/>
  <c r="AD1391" i="9"/>
  <c r="AD1076" i="9"/>
  <c r="I782" i="39" a="1"/>
  <c r="C148" i="39" a="1"/>
  <c r="AD2646" i="9"/>
  <c r="C772" i="39" a="1"/>
  <c r="F240" i="39" a="1"/>
  <c r="D962" i="39" a="1"/>
  <c r="D294" i="39" a="1"/>
  <c r="AD1980" i="9"/>
  <c r="AD4183" i="9"/>
  <c r="G249" i="39" a="1"/>
  <c r="C861" i="39" a="1"/>
  <c r="H628" i="39" a="1"/>
  <c r="E525" i="39" a="1"/>
  <c r="F861" i="39" a="1"/>
  <c r="H404" i="39" a="1"/>
  <c r="AD3977" i="9"/>
  <c r="I967" i="39" a="1"/>
  <c r="I336" i="39" a="1"/>
  <c r="AD832" i="9"/>
  <c r="F548" i="39" a="1"/>
  <c r="H504" i="39" a="1"/>
  <c r="AD4244" i="9"/>
  <c r="AD2555" i="9"/>
  <c r="AD2132" i="9"/>
  <c r="I740" i="39" a="1"/>
  <c r="AD1618" i="9"/>
  <c r="H812" i="39" a="1"/>
  <c r="F761" i="39" a="1"/>
  <c r="E282" i="39" a="1"/>
  <c r="AD3137" i="9"/>
  <c r="I874" i="39" a="1"/>
  <c r="AD1279" i="9"/>
  <c r="I904" i="39" a="1"/>
  <c r="AD2420" i="9"/>
  <c r="C755" i="39" a="1"/>
  <c r="G170" i="39" a="1"/>
  <c r="H464" i="39" a="1"/>
  <c r="AD2151" i="9"/>
  <c r="D337" i="39" a="1"/>
  <c r="AD4418" i="9"/>
  <c r="AD4256" i="9"/>
  <c r="AD2029" i="9"/>
  <c r="G805" i="39" a="1"/>
  <c r="I1019" i="39" a="1"/>
  <c r="C97" i="39" a="1"/>
  <c r="AD1982" i="9"/>
  <c r="C423" i="39" a="1"/>
  <c r="B9" i="12"/>
  <c r="AD2773" i="9"/>
  <c r="E943" i="39" a="1"/>
  <c r="AD2579" i="9"/>
  <c r="C278" i="39" a="1"/>
  <c r="AD2670" i="9"/>
  <c r="AD1397" i="9"/>
  <c r="C579" i="39" a="1"/>
  <c r="D995" i="39" a="1"/>
  <c r="AD2870" i="9"/>
  <c r="C979" i="39" a="1"/>
  <c r="D938" i="39" a="1"/>
  <c r="AD2023" i="9"/>
  <c r="I843" i="39" a="1"/>
  <c r="I925" i="39" a="1"/>
  <c r="AD4208" i="9"/>
  <c r="G42" i="39" a="1"/>
  <c r="I876" i="39" a="1"/>
  <c r="AD3959" i="9"/>
  <c r="AD2300" i="9"/>
  <c r="D381" i="39" a="1"/>
  <c r="AD800" i="9"/>
  <c r="I319" i="39" a="1"/>
  <c r="H29" i="39" a="1"/>
  <c r="AD2390" i="9"/>
  <c r="AD1476" i="9"/>
  <c r="AD1906" i="9"/>
  <c r="C798" i="39" a="1"/>
  <c r="AD2121" i="9"/>
  <c r="G789" i="39" a="1"/>
  <c r="AD3274" i="9"/>
  <c r="C719" i="39" a="1"/>
  <c r="H689" i="39" a="1"/>
  <c r="AD3195" i="9"/>
  <c r="AD3688" i="9"/>
  <c r="E991" i="39" a="1"/>
  <c r="AD371" i="9"/>
  <c r="E424" i="39" a="1"/>
  <c r="AD2192" i="9"/>
  <c r="AD2262" i="9"/>
  <c r="B21" i="12"/>
  <c r="H134" i="39" a="1"/>
  <c r="AD1584" i="9"/>
  <c r="I645" i="39" a="1"/>
  <c r="H550" i="39" a="1"/>
  <c r="C587" i="39" a="1"/>
  <c r="C118" i="39" a="1"/>
  <c r="B100" i="12"/>
  <c r="I972" i="39" a="1"/>
  <c r="F649" i="39" a="1"/>
  <c r="AD3400" i="9"/>
  <c r="D652" i="39" a="1"/>
  <c r="H241" i="39" a="1"/>
  <c r="I523" i="39" a="1"/>
  <c r="G787" i="39" a="1"/>
  <c r="AD1563" i="9"/>
  <c r="AD1088" i="9"/>
  <c r="AD2303" i="9"/>
  <c r="F869" i="39" a="1"/>
  <c r="H546" i="39" a="1"/>
  <c r="H359" i="39" a="1"/>
  <c r="AD1347" i="9"/>
  <c r="AD959" i="9"/>
  <c r="AD2100" i="9"/>
  <c r="F273" i="39" a="1"/>
  <c r="C672" i="39" a="1"/>
  <c r="G817" i="39" a="1"/>
  <c r="AD3252" i="9"/>
  <c r="AD1759" i="9"/>
  <c r="H574" i="39" a="1"/>
  <c r="H823" i="39" a="1"/>
  <c r="G312" i="39" a="1"/>
  <c r="AD4426" i="9"/>
  <c r="AD3891" i="9"/>
  <c r="D939" i="39" a="1"/>
  <c r="AD2541" i="9"/>
  <c r="AD914" i="9"/>
  <c r="D691" i="39" a="1"/>
  <c r="AD1963" i="9"/>
  <c r="AD2627" i="9"/>
  <c r="E426" i="39" a="1"/>
  <c r="AD3357" i="9"/>
  <c r="I604" i="39" a="1"/>
  <c r="AD3475" i="9"/>
  <c r="AD4266" i="9"/>
  <c r="I288" i="39" a="1"/>
  <c r="I676" i="39" a="1"/>
  <c r="F130" i="39" a="1"/>
  <c r="C399" i="39" a="1"/>
  <c r="H460" i="39" a="1"/>
  <c r="AD1753" i="9"/>
  <c r="AD3166" i="9"/>
  <c r="AD2941" i="9"/>
  <c r="AD2695" i="9"/>
  <c r="AD4250" i="9"/>
  <c r="H483" i="39" a="1"/>
  <c r="I442" i="39" a="1"/>
  <c r="AD1919" i="9"/>
  <c r="AD3507" i="9"/>
  <c r="E233" i="39" a="1"/>
  <c r="AD4433" i="9"/>
  <c r="AD3334" i="9"/>
  <c r="AD778" i="9"/>
  <c r="AD24" i="9"/>
  <c r="B102" i="12"/>
  <c r="C723" i="39" a="1"/>
  <c r="F771" i="39" a="1"/>
  <c r="C674" i="39" a="1"/>
  <c r="F870" i="39" a="1"/>
  <c r="H128" i="39" a="1"/>
  <c r="AD1514" i="9"/>
  <c r="AD3132" i="9"/>
  <c r="D465" i="39" a="1"/>
  <c r="AD4458" i="9"/>
  <c r="C936" i="39" a="1"/>
  <c r="AD4267" i="9"/>
  <c r="AD1150" i="9"/>
  <c r="H829" i="39" a="1"/>
  <c r="AD3844" i="9"/>
  <c r="H766" i="39" a="1"/>
  <c r="AD1039" i="9"/>
  <c r="AD2899" i="9"/>
  <c r="AD4061" i="9"/>
  <c r="C200" i="39" a="1"/>
  <c r="AD3529" i="9"/>
  <c r="G771" i="39" a="1"/>
  <c r="AD1462" i="9"/>
  <c r="C760" i="39" a="1"/>
  <c r="AD1771" i="9"/>
  <c r="E494" i="39" a="1"/>
  <c r="F964" i="39" a="1"/>
  <c r="AD3623" i="9"/>
  <c r="AD1046" i="9"/>
  <c r="G806" i="39" a="1"/>
  <c r="G141" i="39" a="1"/>
  <c r="H484" i="39" a="1"/>
  <c r="AD3372" i="9"/>
  <c r="AD1064" i="9"/>
  <c r="D498" i="39" a="1"/>
  <c r="AD4442" i="9"/>
  <c r="I641" i="39" a="1"/>
  <c r="E412" i="39" a="1"/>
  <c r="I984" i="39" a="1"/>
  <c r="C163" i="39" a="1"/>
  <c r="H665" i="39" a="1"/>
  <c r="AD559" i="9"/>
  <c r="AD1721" i="9"/>
  <c r="C981" i="39" a="1"/>
  <c r="AD310" i="9"/>
  <c r="AD1863" i="9"/>
  <c r="AD201" i="9"/>
  <c r="AD2272" i="9"/>
  <c r="C158" i="39" a="1"/>
  <c r="AD2768" i="9"/>
  <c r="AD3045" i="9"/>
  <c r="C653" i="39" a="1"/>
  <c r="AD724" i="9"/>
  <c r="AD3246" i="9"/>
  <c r="AD1054" i="9"/>
  <c r="AD3443" i="9"/>
  <c r="I100" i="39" a="1"/>
  <c r="AD2781" i="9"/>
  <c r="C38" i="39" a="1"/>
  <c r="AD238" i="9"/>
  <c r="AD389" i="9"/>
  <c r="AD342" i="9"/>
  <c r="F529" i="39" a="1"/>
  <c r="AD2483" i="9"/>
  <c r="AD1974" i="9"/>
  <c r="AD4239" i="9"/>
  <c r="D446" i="39" a="1"/>
  <c r="F651" i="39" a="1"/>
  <c r="H999" i="39" a="1"/>
  <c r="AD2084" i="9"/>
  <c r="G84" i="39" a="1"/>
  <c r="AD1991" i="9"/>
  <c r="F463" i="39" a="1"/>
  <c r="H322" i="39" a="1"/>
  <c r="AD2989" i="9"/>
  <c r="E538" i="39" a="1"/>
  <c r="AD4475" i="9"/>
  <c r="AD2956" i="9"/>
  <c r="I1022" i="39" a="1"/>
  <c r="F825" i="39" a="1"/>
  <c r="AD2995" i="9"/>
  <c r="I898" i="39" a="1"/>
  <c r="D197" i="39" a="1"/>
  <c r="AD4265" i="9"/>
  <c r="E418" i="39" a="1"/>
  <c r="AD4473" i="9"/>
  <c r="E77" i="39" a="1"/>
  <c r="AD3413" i="9"/>
  <c r="G23" i="39" a="1"/>
  <c r="F267" i="39" a="1"/>
  <c r="AD3600" i="9"/>
  <c r="AD2328" i="9"/>
  <c r="F181" i="39" a="1"/>
  <c r="D235" i="39" a="1"/>
  <c r="H755" i="39" a="1"/>
  <c r="AD326" i="9"/>
  <c r="D9" i="39" a="1"/>
  <c r="AD4367" i="9"/>
  <c r="AD3418" i="9"/>
  <c r="AD858" i="9"/>
  <c r="D301" i="39" a="1"/>
  <c r="AD1617" i="9"/>
  <c r="AD1242" i="9"/>
  <c r="D585" i="39" a="1"/>
  <c r="AD2736" i="9"/>
  <c r="AD141" i="9"/>
  <c r="E508" i="39" a="1"/>
  <c r="C216" i="39" a="1"/>
  <c r="E969" i="39" a="1"/>
  <c r="AD3162" i="9"/>
  <c r="C705" i="39" a="1"/>
  <c r="AD2433" i="9"/>
  <c r="AD1050" i="9"/>
  <c r="D405" i="39" a="1"/>
  <c r="AD798" i="9"/>
  <c r="AD2992" i="9"/>
  <c r="C359" i="39" a="1"/>
  <c r="AD2437" i="9"/>
  <c r="AD491" i="9"/>
  <c r="G759" i="39" a="1"/>
  <c r="F906" i="39" a="1"/>
  <c r="I444" i="39" a="1"/>
  <c r="AD1103" i="9"/>
  <c r="AD2600" i="9"/>
  <c r="I256" i="39" a="1"/>
  <c r="I190" i="39" a="1"/>
  <c r="G653" i="39" a="1"/>
  <c r="AD1148" i="9"/>
  <c r="E850" i="39" a="1"/>
  <c r="AD670" i="9"/>
  <c r="F562" i="39" a="1"/>
  <c r="AD2703" i="9"/>
  <c r="D28" i="39" a="1"/>
  <c r="D251" i="39" a="1"/>
  <c r="AD2562" i="9"/>
  <c r="AD926" i="9"/>
  <c r="C650" i="39" a="1"/>
  <c r="AD2786" i="9"/>
  <c r="AD1085" i="9"/>
  <c r="F576" i="39" a="1"/>
  <c r="F551" i="39" a="1"/>
  <c r="G931" i="39" a="1"/>
  <c r="AD537" i="9"/>
  <c r="I332" i="39" a="1"/>
  <c r="AD705" i="9"/>
  <c r="F726" i="39" a="1"/>
  <c r="AD796" i="9"/>
  <c r="D497" i="39" a="1"/>
  <c r="AD260" i="9"/>
  <c r="AD3284" i="9"/>
  <c r="AD1633" i="9"/>
  <c r="AD3303" i="9"/>
  <c r="F707" i="39" a="1"/>
  <c r="AD2587" i="9"/>
  <c r="E293" i="39" a="1"/>
  <c r="I912" i="39" a="1"/>
  <c r="H1006" i="39" a="1"/>
  <c r="AD1144" i="9"/>
  <c r="I273" i="39" a="1"/>
  <c r="AD2601" i="9"/>
  <c r="AD125" i="9"/>
  <c r="C1006" i="39" a="1"/>
  <c r="E651" i="39" a="1"/>
  <c r="AD2648" i="9"/>
  <c r="AD4116" i="9"/>
  <c r="AD963" i="9"/>
  <c r="D860" i="39" a="1"/>
  <c r="AD2578" i="9"/>
  <c r="AD4388" i="9"/>
  <c r="AD314" i="9"/>
  <c r="AD2246" i="9"/>
  <c r="E1" i="39" a="1"/>
  <c r="I744" i="39" a="1"/>
  <c r="G989" i="39" a="1"/>
  <c r="AD2290" i="9"/>
  <c r="AD2156" i="9"/>
  <c r="AD3904" i="9"/>
  <c r="AD1171" i="9"/>
  <c r="C295" i="39" a="1"/>
  <c r="AD3835" i="9"/>
  <c r="AD3348" i="9"/>
  <c r="H239" i="39" a="1"/>
  <c r="C997" i="39" a="1"/>
  <c r="AD1270" i="9"/>
  <c r="AD3621" i="9"/>
  <c r="H769" i="39" a="1"/>
  <c r="AD3012" i="9"/>
  <c r="F459" i="39" a="1"/>
  <c r="AD797" i="9"/>
  <c r="E647" i="39" a="1"/>
  <c r="AD3728" i="9"/>
  <c r="F96" i="39" a="1"/>
  <c r="AD2116" i="9"/>
  <c r="I969" i="39" a="1"/>
  <c r="G685" i="39" a="1"/>
  <c r="AD686" i="9"/>
  <c r="AD3347" i="9"/>
  <c r="C1008" i="39" a="1"/>
  <c r="I131" i="39" a="1"/>
  <c r="I562" i="39" a="1"/>
  <c r="AD8" i="9"/>
  <c r="AD485" i="9"/>
  <c r="C532" i="39" a="1"/>
  <c r="E837" i="39" a="1"/>
  <c r="D964" i="39" a="1"/>
  <c r="AD3634" i="9"/>
  <c r="AD1424" i="9"/>
  <c r="I650" i="39" a="1"/>
  <c r="E833" i="39" a="1"/>
  <c r="AD3684" i="9"/>
  <c r="AD266" i="9"/>
  <c r="AD4328" i="9"/>
  <c r="AD1971" i="9"/>
  <c r="G315" i="39" a="1"/>
  <c r="AD2521" i="9"/>
  <c r="E297" i="39" a="1"/>
  <c r="H927" i="39" a="1"/>
  <c r="F69" i="39" a="1"/>
  <c r="D993" i="39" a="1"/>
  <c r="G895" i="39" a="1"/>
  <c r="AD4098" i="9"/>
  <c r="I675" i="39" a="1"/>
  <c r="G121" i="39" a="1"/>
  <c r="AD3763" i="9"/>
  <c r="AD1848" i="9"/>
  <c r="AD3281" i="9"/>
  <c r="AD769" i="9"/>
  <c r="AD4507" i="9"/>
  <c r="F2" i="39" a="1"/>
  <c r="I787" i="39" a="1"/>
  <c r="AD2063" i="9"/>
  <c r="AD1979" i="9"/>
  <c r="F924" i="39" a="1"/>
  <c r="AD1413" i="9"/>
  <c r="AD236" i="9"/>
  <c r="F37" i="39" a="1"/>
  <c r="I71" i="39" a="1"/>
  <c r="C826" i="39" a="1"/>
  <c r="F757" i="39" a="1"/>
  <c r="AD4333" i="9"/>
  <c r="H321" i="39" a="1"/>
  <c r="AD2364" i="9"/>
  <c r="AD3439" i="9"/>
  <c r="I115" i="39" a="1"/>
  <c r="AD197" i="9"/>
  <c r="AD553" i="9"/>
  <c r="D423" i="39" a="1"/>
  <c r="AD1195" i="9"/>
  <c r="AD3068" i="9"/>
  <c r="AD4069" i="9"/>
  <c r="AD4033" i="9"/>
  <c r="G181" i="39" a="1"/>
  <c r="AD4036" i="9"/>
  <c r="AD2767" i="9"/>
  <c r="AD2856" i="9"/>
  <c r="AD2446" i="9"/>
  <c r="I209" i="39" a="1"/>
  <c r="AD1513" i="9"/>
  <c r="H319" i="39" a="1"/>
  <c r="AD3560" i="9"/>
  <c r="C432" i="39" a="1"/>
  <c r="AD920" i="9"/>
  <c r="C71" i="39" a="1"/>
  <c r="C885" i="39" a="1"/>
  <c r="AD2285" i="9"/>
  <c r="AD1422" i="9"/>
  <c r="AD2432" i="9"/>
  <c r="AD375" i="9"/>
  <c r="I836" i="39" a="1"/>
  <c r="I693" i="39" a="1"/>
  <c r="E504" i="39" a="1"/>
  <c r="AD3378" i="9"/>
  <c r="F608" i="39" a="1"/>
  <c r="I799" i="39" a="1"/>
  <c r="G599" i="39" a="1"/>
  <c r="C24" i="39" a="1"/>
  <c r="AD2608" i="9"/>
  <c r="C55" i="39" a="1"/>
  <c r="AD2884" i="9"/>
  <c r="F764" i="39" a="1"/>
  <c r="E472" i="39" a="1"/>
  <c r="C235" i="39" a="1"/>
  <c r="AD262" i="9"/>
  <c r="AD955" i="9"/>
  <c r="C664" i="39" a="1"/>
  <c r="AD4161" i="9"/>
  <c r="D836" i="39" a="1"/>
  <c r="E611" i="39" a="1"/>
  <c r="AD30" i="9"/>
  <c r="I513" i="39" a="1"/>
  <c r="AD4346" i="9"/>
  <c r="I655" i="39" a="1"/>
  <c r="C166" i="39" a="1"/>
  <c r="AD4119" i="9"/>
  <c r="G629" i="39" a="1"/>
  <c r="F446" i="39" a="1"/>
  <c r="F496" i="39" a="1"/>
  <c r="C830" i="39" a="1"/>
  <c r="C409" i="39" a="1"/>
  <c r="AD2509" i="9"/>
  <c r="I971" i="39" a="1"/>
  <c r="H840" i="39" a="1"/>
  <c r="F995" i="39" a="1"/>
  <c r="AD3789" i="9"/>
  <c r="I105" i="39" a="1"/>
  <c r="G937" i="39" a="1"/>
  <c r="G1001" i="39" a="1"/>
  <c r="E800" i="39" a="1"/>
  <c r="F828" i="39" a="1"/>
  <c r="E342" i="39" a="1"/>
  <c r="AD1479" i="9"/>
  <c r="AD3446" i="9"/>
  <c r="AD1641" i="9"/>
  <c r="AD3225" i="9"/>
  <c r="AD1590" i="9"/>
  <c r="D252" i="39" a="1"/>
  <c r="AD943" i="9"/>
  <c r="AD1930" i="9"/>
  <c r="E445" i="39" a="1"/>
  <c r="AD1368" i="9"/>
  <c r="E774" i="39" a="1"/>
  <c r="E542" i="39" a="1"/>
  <c r="AD2652" i="9"/>
  <c r="AD2903" i="9"/>
  <c r="E511" i="39" a="1"/>
  <c r="AD1419" i="9"/>
  <c r="AD3072" i="9"/>
  <c r="AD2907" i="9"/>
  <c r="AD2368" i="9"/>
  <c r="AD1473" i="9"/>
  <c r="F655" i="39" a="1"/>
  <c r="AD1506" i="9"/>
  <c r="G886" i="39" a="1"/>
  <c r="AD2384" i="9"/>
  <c r="G704" i="39" a="1"/>
  <c r="AD729" i="9"/>
  <c r="D508" i="39" a="1"/>
  <c r="I625" i="39" a="1"/>
  <c r="G864" i="39" a="1"/>
  <c r="G802" i="39" a="1"/>
  <c r="I798" i="39" a="1"/>
  <c r="AD897" i="9"/>
  <c r="AD3793" i="9"/>
  <c r="AD206" i="9"/>
  <c r="AD3197" i="9"/>
  <c r="AD2010" i="9"/>
  <c r="AD1421" i="9"/>
  <c r="E1006" i="39" a="1"/>
  <c r="E934" i="39" a="1"/>
  <c r="AD3915" i="9"/>
  <c r="C730" i="39" a="1"/>
  <c r="AD4111" i="9"/>
  <c r="H15" i="39" a="1"/>
  <c r="AD2343" i="9"/>
  <c r="D193" i="39" a="1"/>
  <c r="AD4307" i="9"/>
  <c r="AD2492" i="9"/>
  <c r="E308" i="39" a="1"/>
  <c r="AD2628" i="9"/>
  <c r="AD2519" i="9"/>
  <c r="H881" i="39" a="1"/>
  <c r="AD2615" i="9"/>
  <c r="AD32" i="9"/>
  <c r="I477" i="39" a="1"/>
  <c r="AD3099" i="9"/>
  <c r="H690" i="39" a="1"/>
  <c r="D706" i="39" a="1"/>
  <c r="AD2361" i="9"/>
  <c r="I786" i="39" a="1"/>
  <c r="AD965" i="9"/>
  <c r="AD72" i="9"/>
  <c r="AD2167" i="9"/>
  <c r="AD3180" i="9"/>
  <c r="D204" i="39" a="1"/>
  <c r="D772" i="39" a="1"/>
  <c r="D542" i="39" a="1"/>
  <c r="G641" i="39" a="1"/>
  <c r="F376" i="39" a="1"/>
  <c r="AD1648" i="9"/>
  <c r="AD156" i="9"/>
  <c r="G912" i="39" a="1"/>
  <c r="AD2042" i="9"/>
  <c r="H387" i="39" a="1"/>
  <c r="H986" i="39" a="1"/>
  <c r="G977" i="39" a="1"/>
  <c r="G642" i="39" a="1"/>
  <c r="G872" i="39" a="1"/>
  <c r="H367" i="39" a="1"/>
  <c r="AD642" i="9"/>
  <c r="AD2857" i="9"/>
  <c r="AD634" i="9"/>
  <c r="AD2732" i="9"/>
  <c r="F844" i="39" a="1"/>
  <c r="C385" i="39" a="1"/>
  <c r="D286" i="39" a="1"/>
  <c r="G270" i="39" a="1"/>
  <c r="C9" i="39" a="1"/>
  <c r="AD3518" i="9"/>
  <c r="C973" i="39" a="1"/>
  <c r="AD2835" i="9"/>
  <c r="D551" i="39" a="1"/>
  <c r="AD4214" i="9"/>
  <c r="AD3796" i="9"/>
  <c r="E776" i="39" a="1"/>
  <c r="AD2947" i="9"/>
  <c r="AD3700" i="9"/>
  <c r="I764" i="39" a="1"/>
  <c r="G731" i="39" a="1"/>
  <c r="AD2491" i="9"/>
  <c r="E187" i="39" a="1"/>
  <c r="AD1501" i="9"/>
  <c r="AD3313" i="9"/>
  <c r="F175" i="39" a="1"/>
  <c r="AD151" i="9"/>
  <c r="AD582" i="9"/>
  <c r="AD3007" i="9"/>
  <c r="H891" i="39" a="1"/>
  <c r="C562" i="39" a="1"/>
  <c r="AD3339" i="9"/>
  <c r="AD3624" i="9"/>
  <c r="G758" i="39" a="1"/>
  <c r="I829" i="39" a="1"/>
  <c r="AD2890" i="9"/>
  <c r="C866" i="39" a="1"/>
  <c r="F709" i="39" a="1"/>
  <c r="AD1229" i="9"/>
  <c r="AD2969" i="9"/>
  <c r="E963" i="39" a="1"/>
  <c r="H729" i="39" a="1"/>
  <c r="C1023" i="39" a="1"/>
  <c r="D671" i="39" a="1"/>
  <c r="C703" i="39" a="1"/>
  <c r="AD506" i="9"/>
  <c r="G678" i="39" a="1"/>
  <c r="C733" i="39" a="1"/>
  <c r="C590" i="39" a="1"/>
  <c r="D392" i="39" a="1"/>
  <c r="AD1119" i="9"/>
  <c r="C224" i="39" a="1"/>
  <c r="G594" i="39" a="1"/>
  <c r="AD2323" i="9"/>
  <c r="AD1258" i="9"/>
  <c r="AD2242" i="9"/>
  <c r="E936" i="39" a="1"/>
  <c r="H865" i="39" a="1"/>
  <c r="AD480" i="9"/>
  <c r="F156" i="39" a="1"/>
  <c r="AD4481" i="9"/>
  <c r="G662" i="39" a="1"/>
  <c r="AD55" i="9"/>
  <c r="G947" i="39" a="1"/>
  <c r="G203" i="39" a="1"/>
  <c r="D38" i="39" a="1"/>
  <c r="F910" i="39" a="1"/>
  <c r="B73" i="12"/>
  <c r="C840" i="39" a="1"/>
  <c r="AD1792" i="9"/>
  <c r="AD1221" i="9"/>
  <c r="AD1693" i="9"/>
  <c r="I426" i="39" a="1"/>
  <c r="AD87" i="9"/>
  <c r="AD4419" i="9"/>
  <c r="G826" i="39" a="1"/>
  <c r="AD1235" i="9"/>
  <c r="F659" i="39" a="1"/>
  <c r="AD2147" i="9"/>
  <c r="AD4067" i="9"/>
  <c r="D291" i="39" a="1"/>
  <c r="AD703" i="9"/>
  <c r="C610" i="39" a="1"/>
  <c r="AD2882" i="9"/>
  <c r="AD3687" i="9"/>
  <c r="AD105" i="9"/>
  <c r="AD3216" i="9"/>
  <c r="G727" i="39" a="1"/>
  <c r="AD258" i="9"/>
  <c r="C368" i="39" a="1"/>
  <c r="AD3134" i="9"/>
  <c r="AD2375" i="9"/>
  <c r="I156" i="39" a="1"/>
  <c r="AD3018" i="9"/>
  <c r="G57" i="39" a="1"/>
  <c r="H783" i="39" a="1"/>
  <c r="G837" i="39" a="1"/>
  <c r="AD653" i="9"/>
  <c r="AD179" i="9"/>
  <c r="AD85" i="9"/>
  <c r="G300" i="39" a="1"/>
  <c r="AD2609" i="9"/>
  <c r="AD2552" i="9"/>
  <c r="AD4095" i="9"/>
  <c r="AD1187" i="9"/>
  <c r="AD2990" i="9"/>
  <c r="AD283" i="9"/>
  <c r="F620" i="39" a="1"/>
  <c r="AD3992" i="9"/>
  <c r="AD1168" i="9"/>
  <c r="AD3618" i="9"/>
  <c r="AD933" i="9"/>
  <c r="AD136" i="9"/>
  <c r="D709" i="39" a="1"/>
  <c r="AD765" i="9"/>
  <c r="AD946" i="9"/>
  <c r="AD1267" i="9"/>
  <c r="C995" i="39" a="1"/>
  <c r="AD3477" i="9"/>
  <c r="AD3442" i="9"/>
  <c r="G424" i="39" a="1"/>
  <c r="G623" i="39" a="1"/>
  <c r="F770" i="39" a="1"/>
  <c r="AD595" i="9"/>
  <c r="I153" i="39" a="1"/>
  <c r="H981" i="39" a="1"/>
  <c r="H981" i="39" l="1"/>
  <c r="I153" i="39"/>
  <c r="F770" i="39"/>
  <c r="G623" i="39"/>
  <c r="G424" i="39"/>
  <c r="C995" i="39"/>
  <c r="D709" i="39"/>
  <c r="S16" i="9"/>
  <c r="F620" i="39"/>
  <c r="G300" i="39"/>
  <c r="I7" i="7"/>
  <c r="Q28" i="9"/>
  <c r="T33" i="9"/>
  <c r="G837" i="39"/>
  <c r="H783" i="39"/>
  <c r="G57" i="39"/>
  <c r="I156" i="39"/>
  <c r="C368" i="39"/>
  <c r="G727" i="39"/>
  <c r="R15" i="9"/>
  <c r="C610" i="39"/>
  <c r="D291" i="39"/>
  <c r="F659" i="39"/>
  <c r="G826" i="39"/>
  <c r="Q30" i="9"/>
  <c r="I426" i="39"/>
  <c r="C840" i="39"/>
  <c r="F910" i="39"/>
  <c r="D38" i="39"/>
  <c r="G203" i="39"/>
  <c r="G947" i="39"/>
  <c r="P28" i="9"/>
  <c r="H7" i="7"/>
  <c r="G662" i="39"/>
  <c r="F156" i="39"/>
  <c r="H865" i="39"/>
  <c r="E936" i="39"/>
  <c r="G594" i="39"/>
  <c r="C224" i="39"/>
  <c r="D392" i="39"/>
  <c r="C590" i="39"/>
  <c r="C733" i="39"/>
  <c r="G678" i="39"/>
  <c r="C703" i="39"/>
  <c r="D671" i="39"/>
  <c r="C1023" i="39"/>
  <c r="H729" i="39"/>
  <c r="E963" i="39"/>
  <c r="F709" i="39"/>
  <c r="C866" i="39"/>
  <c r="I829" i="39"/>
  <c r="G758" i="39"/>
  <c r="C562" i="39"/>
  <c r="H891" i="39"/>
  <c r="S35" i="9"/>
  <c r="F175" i="39"/>
  <c r="E187" i="39"/>
  <c r="G731" i="39"/>
  <c r="I764" i="39"/>
  <c r="E776" i="39"/>
  <c r="D551" i="39"/>
  <c r="C973" i="39"/>
  <c r="C9" i="39"/>
  <c r="G270" i="39"/>
  <c r="D286" i="39"/>
  <c r="C385" i="39"/>
  <c r="F844" i="39"/>
  <c r="H367" i="39"/>
  <c r="G872" i="39"/>
  <c r="G642" i="39"/>
  <c r="G977" i="39"/>
  <c r="H986" i="39"/>
  <c r="H387" i="39"/>
  <c r="G912" i="39"/>
  <c r="S41" i="9"/>
  <c r="F376" i="39"/>
  <c r="G641" i="39"/>
  <c r="D542" i="39"/>
  <c r="D772" i="39"/>
  <c r="D204" i="39"/>
  <c r="Q12" i="9"/>
  <c r="I786" i="39"/>
  <c r="D706" i="39"/>
  <c r="H690" i="39"/>
  <c r="I477" i="39"/>
  <c r="O36" i="9"/>
  <c r="H881" i="39"/>
  <c r="E308" i="39"/>
  <c r="D193" i="39"/>
  <c r="H15" i="39"/>
  <c r="C730" i="39"/>
  <c r="E934" i="39"/>
  <c r="E1006" i="39"/>
  <c r="I798" i="39"/>
  <c r="G802" i="39"/>
  <c r="G864" i="39"/>
  <c r="I625" i="39"/>
  <c r="D508" i="39"/>
  <c r="G704" i="39"/>
  <c r="G886" i="39"/>
  <c r="F655" i="39"/>
  <c r="G23" i="7"/>
  <c r="E511" i="39"/>
  <c r="E542" i="39"/>
  <c r="E774" i="39"/>
  <c r="E445" i="39"/>
  <c r="D252" i="39"/>
  <c r="E342" i="39"/>
  <c r="F828" i="39"/>
  <c r="E800" i="39"/>
  <c r="G1001" i="39"/>
  <c r="G937" i="39"/>
  <c r="I105" i="39"/>
  <c r="F995" i="39"/>
  <c r="H840" i="39"/>
  <c r="I971" i="39"/>
  <c r="C409" i="39"/>
  <c r="C830" i="39"/>
  <c r="F496" i="39"/>
  <c r="F446" i="39"/>
  <c r="G629" i="39"/>
  <c r="C166" i="39"/>
  <c r="I655" i="39"/>
  <c r="I513" i="39"/>
  <c r="O34" i="9"/>
  <c r="E611" i="39"/>
  <c r="D836" i="39"/>
  <c r="C664" i="39"/>
  <c r="C235" i="39"/>
  <c r="E472" i="39"/>
  <c r="F764" i="39"/>
  <c r="C55" i="39"/>
  <c r="C24" i="39"/>
  <c r="G599" i="39"/>
  <c r="I799" i="39"/>
  <c r="F608" i="39"/>
  <c r="E504" i="39"/>
  <c r="I693" i="39"/>
  <c r="I836" i="39"/>
  <c r="C885" i="39"/>
  <c r="C71" i="39"/>
  <c r="C432" i="39"/>
  <c r="H319" i="39"/>
  <c r="I209" i="39"/>
  <c r="G181" i="39"/>
  <c r="D423" i="39"/>
  <c r="I115" i="39"/>
  <c r="H321" i="39"/>
  <c r="F757" i="39"/>
  <c r="C826" i="39"/>
  <c r="I71" i="39"/>
  <c r="F37" i="39"/>
  <c r="F924" i="39"/>
  <c r="I787" i="39"/>
  <c r="F2" i="39"/>
  <c r="G121" i="39"/>
  <c r="I675" i="39"/>
  <c r="G895" i="39"/>
  <c r="D993" i="39"/>
  <c r="F69" i="39"/>
  <c r="H927" i="39"/>
  <c r="E297" i="39"/>
  <c r="G315" i="39"/>
  <c r="E833" i="39"/>
  <c r="I650" i="39"/>
  <c r="D964" i="39"/>
  <c r="E837" i="39"/>
  <c r="C532" i="39"/>
  <c r="O8" i="9"/>
  <c r="I562" i="39"/>
  <c r="I131" i="39"/>
  <c r="C1008" i="39"/>
  <c r="G685" i="39"/>
  <c r="I969" i="39"/>
  <c r="F96" i="39"/>
  <c r="E647" i="39"/>
  <c r="F459" i="39"/>
  <c r="H769" i="39"/>
  <c r="C997" i="39"/>
  <c r="H239" i="39"/>
  <c r="C295" i="39"/>
  <c r="G989" i="39"/>
  <c r="I744" i="39"/>
  <c r="E1" i="39"/>
  <c r="D860" i="39"/>
  <c r="E651" i="39"/>
  <c r="C1006" i="39"/>
  <c r="R40" i="9"/>
  <c r="I273" i="39"/>
  <c r="H1006" i="39"/>
  <c r="I912" i="39"/>
  <c r="E293" i="39"/>
  <c r="F707" i="39"/>
  <c r="D497" i="39"/>
  <c r="F726" i="39"/>
  <c r="I332" i="39"/>
  <c r="G931" i="39"/>
  <c r="F551" i="39"/>
  <c r="F576" i="39"/>
  <c r="C650" i="39"/>
  <c r="D251" i="39"/>
  <c r="D28" i="39"/>
  <c r="F562" i="39"/>
  <c r="E850" i="39"/>
  <c r="G653" i="39"/>
  <c r="I190" i="39"/>
  <c r="I256" i="39"/>
  <c r="I444" i="39"/>
  <c r="F906" i="39"/>
  <c r="G759" i="39"/>
  <c r="C359" i="39"/>
  <c r="D405" i="39"/>
  <c r="C705" i="39"/>
  <c r="E969" i="39"/>
  <c r="C216" i="39"/>
  <c r="E508" i="39"/>
  <c r="S21" i="9"/>
  <c r="D585" i="39"/>
  <c r="D301" i="39"/>
  <c r="D9" i="39"/>
  <c r="H755" i="39"/>
  <c r="D235" i="39"/>
  <c r="F181" i="39"/>
  <c r="F267" i="39"/>
  <c r="G23" i="39"/>
  <c r="E77" i="39"/>
  <c r="E418" i="39"/>
  <c r="D197" i="39"/>
  <c r="I898" i="39"/>
  <c r="F825" i="39"/>
  <c r="I1022" i="39"/>
  <c r="E538" i="39"/>
  <c r="H322" i="39"/>
  <c r="F463" i="39"/>
  <c r="G84" i="39"/>
  <c r="H999" i="39"/>
  <c r="F651" i="39"/>
  <c r="D446" i="39"/>
  <c r="H17" i="3"/>
  <c r="F529" i="39"/>
  <c r="C38" i="39"/>
  <c r="I100" i="39"/>
  <c r="C653" i="39"/>
  <c r="C158" i="39"/>
  <c r="C981" i="39"/>
  <c r="H665" i="39"/>
  <c r="C163" i="39"/>
  <c r="I984" i="39"/>
  <c r="E412" i="39"/>
  <c r="I641" i="39"/>
  <c r="D498" i="39"/>
  <c r="H484" i="39"/>
  <c r="G141" i="39"/>
  <c r="G806" i="39"/>
  <c r="F964" i="39"/>
  <c r="E494" i="39"/>
  <c r="C760" i="39"/>
  <c r="G771" i="39"/>
  <c r="C200" i="39"/>
  <c r="H766" i="39"/>
  <c r="H829" i="39"/>
  <c r="C936" i="39"/>
  <c r="D465" i="39"/>
  <c r="H128" i="39"/>
  <c r="F870" i="39"/>
  <c r="C674" i="39"/>
  <c r="F771" i="39"/>
  <c r="C723" i="39"/>
  <c r="O49" i="9"/>
  <c r="O26" i="9"/>
  <c r="D6" i="8" s="1"/>
  <c r="E233" i="39"/>
  <c r="I442" i="39"/>
  <c r="H483" i="39"/>
  <c r="H460" i="39"/>
  <c r="C399" i="39"/>
  <c r="F130" i="39"/>
  <c r="I676" i="39"/>
  <c r="I288" i="39"/>
  <c r="I604" i="39"/>
  <c r="E426" i="39"/>
  <c r="D691" i="39"/>
  <c r="D939" i="39"/>
  <c r="G312" i="39"/>
  <c r="H823" i="39"/>
  <c r="H574" i="39"/>
  <c r="G817" i="39"/>
  <c r="C672" i="39"/>
  <c r="F273" i="39"/>
  <c r="H359" i="39"/>
  <c r="H546" i="39"/>
  <c r="F869" i="39"/>
  <c r="J23" i="7"/>
  <c r="G787" i="39"/>
  <c r="I523" i="39"/>
  <c r="H241" i="39"/>
  <c r="D652" i="39"/>
  <c r="F649" i="39"/>
  <c r="I972" i="39"/>
  <c r="C118" i="39"/>
  <c r="C587" i="39"/>
  <c r="H550" i="39"/>
  <c r="I645" i="39"/>
  <c r="H134" i="39"/>
  <c r="E424" i="39"/>
  <c r="E991" i="39"/>
  <c r="H689" i="39"/>
  <c r="C719" i="39"/>
  <c r="G789" i="39"/>
  <c r="C798" i="39"/>
  <c r="H29" i="39"/>
  <c r="I319" i="39"/>
  <c r="D381" i="39"/>
  <c r="I876" i="39"/>
  <c r="G42" i="39"/>
  <c r="I925" i="39"/>
  <c r="I843" i="39"/>
  <c r="D938" i="39"/>
  <c r="C979" i="39"/>
  <c r="D995" i="39"/>
  <c r="C579" i="39"/>
  <c r="C278" i="39"/>
  <c r="E943" i="39"/>
  <c r="C423" i="39"/>
  <c r="C97" i="39"/>
  <c r="I1019" i="39"/>
  <c r="G805" i="39"/>
  <c r="D337" i="39"/>
  <c r="H464" i="39"/>
  <c r="G170" i="39"/>
  <c r="C755" i="39"/>
  <c r="I904" i="39"/>
  <c r="I874" i="39"/>
  <c r="E282" i="39"/>
  <c r="F761" i="39"/>
  <c r="H812" i="39"/>
  <c r="I740" i="39"/>
  <c r="H504" i="39"/>
  <c r="F548" i="39"/>
  <c r="I336" i="39"/>
  <c r="I967" i="39"/>
  <c r="H404" i="39"/>
  <c r="F861" i="39"/>
  <c r="E525" i="39"/>
  <c r="H628" i="39"/>
  <c r="C861" i="39"/>
  <c r="G249" i="39"/>
  <c r="D294" i="39"/>
  <c r="D962" i="39"/>
  <c r="F240" i="39"/>
  <c r="C772" i="39"/>
  <c r="C148" i="39"/>
  <c r="I782" i="39"/>
  <c r="F517" i="39"/>
  <c r="C186" i="39"/>
  <c r="G793" i="39"/>
  <c r="H905" i="39"/>
  <c r="H103" i="39"/>
  <c r="G66" i="39"/>
  <c r="I1021" i="39"/>
  <c r="D50" i="39"/>
  <c r="C357" i="39"/>
  <c r="F905" i="39"/>
  <c r="H337" i="39"/>
  <c r="I607" i="39"/>
  <c r="F465" i="39"/>
  <c r="F115" i="39"/>
  <c r="H336" i="39"/>
  <c r="G90" i="39"/>
  <c r="D859" i="39"/>
  <c r="E338" i="39"/>
  <c r="I714" i="39"/>
  <c r="G500" i="39"/>
  <c r="F467" i="39"/>
  <c r="C736" i="39"/>
  <c r="G1017" i="39"/>
  <c r="G508" i="39"/>
  <c r="I555" i="39"/>
  <c r="F445" i="39"/>
  <c r="I88" i="39"/>
  <c r="F801" i="39"/>
  <c r="C546" i="39"/>
  <c r="D162" i="39"/>
  <c r="D739" i="39"/>
  <c r="E225" i="39"/>
  <c r="E466" i="39"/>
  <c r="D320" i="39"/>
  <c r="I811" i="39"/>
  <c r="D876" i="39"/>
  <c r="G609" i="39"/>
  <c r="F1006" i="39"/>
  <c r="C987" i="39"/>
  <c r="H961" i="39"/>
  <c r="H272" i="39"/>
  <c r="G436" i="39"/>
  <c r="H442" i="39"/>
  <c r="H195" i="39"/>
  <c r="E427" i="39"/>
  <c r="I992" i="39"/>
  <c r="F941" i="39"/>
  <c r="C635" i="39"/>
  <c r="H486" i="39"/>
  <c r="F487" i="39"/>
  <c r="D541" i="39"/>
  <c r="I481" i="39"/>
  <c r="H91" i="39"/>
  <c r="P39" i="9"/>
  <c r="G743" i="39"/>
  <c r="G739" i="39"/>
  <c r="O20" i="9"/>
  <c r="C923" i="39"/>
  <c r="I879" i="39"/>
  <c r="G650" i="39"/>
  <c r="C447" i="39"/>
  <c r="H784" i="39"/>
  <c r="F811" i="39"/>
  <c r="C196" i="39"/>
  <c r="E770" i="39"/>
  <c r="F438" i="39"/>
  <c r="F979" i="39"/>
  <c r="G340" i="39"/>
  <c r="F613" i="39"/>
  <c r="D386" i="39"/>
  <c r="D390" i="39"/>
  <c r="E61" i="39"/>
  <c r="D209" i="39"/>
  <c r="E257" i="39"/>
  <c r="E290" i="39"/>
  <c r="D707" i="39"/>
  <c r="F51" i="39"/>
  <c r="P12" i="9"/>
  <c r="C831" i="39"/>
  <c r="G683" i="39"/>
  <c r="E116" i="39"/>
  <c r="C895" i="39"/>
  <c r="I248" i="39"/>
  <c r="F914" i="39"/>
  <c r="G10" i="39"/>
  <c r="I384" i="39"/>
  <c r="O30" i="9"/>
  <c r="C1004" i="39"/>
  <c r="I264" i="39"/>
  <c r="H709" i="39"/>
  <c r="G530" i="39"/>
  <c r="G618" i="39"/>
  <c r="C162" i="39"/>
  <c r="G240" i="39"/>
  <c r="H573" i="39"/>
  <c r="I500" i="39"/>
  <c r="I994" i="39"/>
  <c r="E31" i="39"/>
  <c r="D19" i="39"/>
  <c r="C568" i="39"/>
  <c r="H198" i="39"/>
  <c r="I379" i="39"/>
  <c r="F82" i="39"/>
  <c r="D90" i="39"/>
  <c r="C325" i="39"/>
  <c r="I126" i="39"/>
  <c r="E807" i="39"/>
  <c r="F603" i="39"/>
  <c r="H193" i="39"/>
  <c r="I541" i="39"/>
  <c r="F610" i="39"/>
  <c r="C329" i="39"/>
  <c r="C726" i="39"/>
  <c r="G983" i="39"/>
  <c r="I720" i="39"/>
  <c r="C386" i="39"/>
  <c r="H24" i="3"/>
  <c r="I469" i="39"/>
  <c r="C1018" i="39"/>
  <c r="H658" i="39"/>
  <c r="G62" i="39"/>
  <c r="G206" i="39"/>
  <c r="H65" i="39"/>
  <c r="D849" i="39"/>
  <c r="H627" i="39"/>
  <c r="I503" i="39"/>
  <c r="C390" i="39"/>
  <c r="H937" i="39"/>
  <c r="D757" i="39"/>
  <c r="E346" i="39"/>
  <c r="I943" i="39"/>
  <c r="H604" i="39"/>
  <c r="I201" i="39"/>
  <c r="C358" i="39"/>
  <c r="I999" i="39"/>
  <c r="H677" i="39"/>
  <c r="C807" i="39"/>
  <c r="H261" i="39"/>
  <c r="E515" i="39"/>
  <c r="H738" i="39"/>
  <c r="G473" i="39"/>
  <c r="G614" i="39"/>
  <c r="F961" i="39"/>
  <c r="C680" i="39"/>
  <c r="C575" i="39"/>
  <c r="D165" i="39"/>
  <c r="E625" i="39"/>
  <c r="F685" i="39"/>
  <c r="Q8" i="9"/>
  <c r="H165" i="39"/>
  <c r="I401" i="39"/>
  <c r="I499" i="39"/>
  <c r="H123" i="39"/>
  <c r="G959" i="39"/>
  <c r="I530" i="39"/>
  <c r="C908" i="39"/>
  <c r="D556" i="39"/>
  <c r="C1012" i="39"/>
  <c r="D605" i="39"/>
  <c r="F114" i="39"/>
  <c r="E928" i="39"/>
  <c r="E627" i="39"/>
  <c r="D958" i="39"/>
  <c r="I868" i="39"/>
  <c r="E363" i="39"/>
  <c r="I849" i="39"/>
  <c r="E778" i="39"/>
  <c r="C928" i="39"/>
  <c r="F731" i="39"/>
  <c r="E831" i="39"/>
  <c r="I304" i="39"/>
  <c r="H747" i="39"/>
  <c r="F431" i="39"/>
  <c r="I134" i="39"/>
  <c r="I181" i="39"/>
  <c r="H612" i="39"/>
  <c r="D388" i="39"/>
  <c r="I571" i="39"/>
  <c r="I599" i="39"/>
  <c r="F857" i="39"/>
  <c r="H931" i="39"/>
  <c r="F169" i="39"/>
  <c r="C916" i="39"/>
  <c r="F1012" i="39"/>
  <c r="G926" i="39"/>
  <c r="E1011" i="39"/>
  <c r="E101" i="39"/>
  <c r="G512" i="39"/>
  <c r="E771" i="39"/>
  <c r="C551" i="39"/>
  <c r="I593" i="39"/>
  <c r="G706" i="39"/>
  <c r="C317" i="39"/>
  <c r="G780" i="39"/>
  <c r="D699" i="39"/>
  <c r="D314" i="39"/>
  <c r="E609" i="39"/>
  <c r="F904" i="39"/>
  <c r="F689" i="39"/>
  <c r="D429" i="39"/>
  <c r="C348" i="39"/>
  <c r="G333" i="39"/>
  <c r="H105" i="39"/>
  <c r="R33" i="9"/>
  <c r="J8" i="7"/>
  <c r="F708" i="39"/>
  <c r="C954" i="39"/>
  <c r="I159" i="39"/>
  <c r="E133" i="39"/>
  <c r="G776" i="39"/>
  <c r="D779" i="39"/>
  <c r="C260" i="39"/>
  <c r="R34" i="9"/>
  <c r="F666" i="39"/>
  <c r="H590" i="39"/>
  <c r="E875" i="39"/>
  <c r="G120" i="39"/>
  <c r="E52" i="39"/>
  <c r="I793" i="39"/>
  <c r="D374" i="39"/>
  <c r="D979" i="39"/>
  <c r="D955" i="39"/>
  <c r="I959" i="39"/>
  <c r="F133" i="39"/>
  <c r="C461" i="39"/>
  <c r="D1008" i="39"/>
  <c r="H654" i="39"/>
  <c r="E925" i="39"/>
  <c r="C715" i="39"/>
  <c r="D331" i="39"/>
  <c r="C547" i="39"/>
  <c r="C803" i="39"/>
  <c r="H664" i="39"/>
  <c r="F931" i="39"/>
  <c r="E594" i="39"/>
  <c r="C181" i="39"/>
  <c r="D416" i="39"/>
  <c r="G750" i="39"/>
  <c r="H857" i="39"/>
  <c r="Q18" i="9"/>
  <c r="I261" i="39"/>
  <c r="E804" i="39"/>
  <c r="D777" i="39"/>
  <c r="C734" i="39"/>
  <c r="R11" i="9"/>
  <c r="C435" i="39"/>
  <c r="I249" i="39"/>
  <c r="D325" i="39"/>
  <c r="G138" i="39"/>
  <c r="F164" i="39"/>
  <c r="E109" i="39"/>
  <c r="G316" i="39"/>
  <c r="E366" i="39"/>
  <c r="C220" i="39"/>
  <c r="G126" i="39"/>
  <c r="E734" i="39"/>
  <c r="D516" i="39"/>
  <c r="F996" i="39"/>
  <c r="D753" i="39"/>
  <c r="D917" i="39"/>
  <c r="D419" i="39"/>
  <c r="F871" i="39"/>
  <c r="D819" i="39"/>
  <c r="H790" i="39"/>
  <c r="H795" i="39"/>
  <c r="I806" i="39"/>
  <c r="T40" i="9"/>
  <c r="F1001" i="39"/>
  <c r="I451" i="39"/>
  <c r="E889" i="39"/>
  <c r="H144" i="39"/>
  <c r="H411" i="39"/>
  <c r="D102" i="39"/>
  <c r="E477" i="39"/>
  <c r="C116" i="39"/>
  <c r="F1022" i="39"/>
  <c r="F794" i="39"/>
  <c r="F522" i="39"/>
  <c r="G145" i="39"/>
  <c r="I698" i="39"/>
  <c r="D785" i="39"/>
  <c r="G943" i="39"/>
  <c r="H276" i="39"/>
  <c r="H862" i="39"/>
  <c r="H51" i="39"/>
  <c r="C683" i="39"/>
  <c r="E649" i="39"/>
  <c r="C752" i="39"/>
  <c r="E853" i="39"/>
  <c r="C437" i="39"/>
  <c r="D912" i="39"/>
  <c r="D334" i="39"/>
  <c r="H645" i="39"/>
  <c r="I977" i="39"/>
  <c r="E496" i="39"/>
  <c r="G591" i="39"/>
  <c r="F615" i="39"/>
  <c r="E751" i="39"/>
  <c r="E423" i="39"/>
  <c r="E843" i="39"/>
  <c r="C91" i="39"/>
  <c r="H909" i="39"/>
  <c r="D897" i="39"/>
  <c r="I415" i="39"/>
  <c r="F543" i="39"/>
  <c r="G33" i="39"/>
  <c r="D271" i="39"/>
  <c r="F949" i="39"/>
  <c r="H736" i="39"/>
  <c r="G31" i="39"/>
  <c r="H1000" i="39"/>
  <c r="I854" i="39"/>
  <c r="E752" i="39"/>
  <c r="H323" i="39"/>
  <c r="D504" i="39"/>
  <c r="E372" i="39"/>
  <c r="H997" i="39"/>
  <c r="E608" i="39"/>
  <c r="I118" i="39"/>
  <c r="H561" i="39"/>
  <c r="I340" i="39"/>
  <c r="E968" i="39"/>
  <c r="D569" i="39"/>
  <c r="F271" i="39"/>
  <c r="C408" i="39"/>
  <c r="G868" i="39"/>
  <c r="E687" i="39"/>
  <c r="H168" i="39"/>
  <c r="C277" i="39"/>
  <c r="F559" i="39"/>
  <c r="E845" i="39"/>
  <c r="G800" i="39"/>
  <c r="C471" i="39"/>
  <c r="F528" i="39"/>
  <c r="D959" i="39"/>
  <c r="G970" i="39"/>
  <c r="F831" i="39"/>
  <c r="H741" i="39"/>
  <c r="F3" i="39"/>
  <c r="D69" i="39"/>
  <c r="H968" i="39"/>
  <c r="C377" i="39"/>
  <c r="E564" i="39"/>
  <c r="E689" i="39"/>
  <c r="G979" i="39"/>
  <c r="C164" i="39"/>
  <c r="E700" i="39"/>
  <c r="C939" i="39"/>
  <c r="H819" i="39"/>
  <c r="E948" i="39"/>
  <c r="I759" i="39"/>
  <c r="C28" i="39"/>
  <c r="H313" i="39"/>
  <c r="D941" i="39"/>
  <c r="C729" i="39"/>
  <c r="I414" i="39"/>
  <c r="G628" i="39"/>
  <c r="I213" i="39"/>
  <c r="C175" i="39"/>
  <c r="C443" i="39"/>
  <c r="F338" i="39"/>
  <c r="I250" i="39"/>
  <c r="I293" i="39"/>
  <c r="I330" i="39"/>
  <c r="I216" i="39"/>
  <c r="I377" i="39"/>
  <c r="I470" i="39"/>
  <c r="D730" i="39"/>
  <c r="C909" i="39"/>
  <c r="H301" i="39"/>
  <c r="D624" i="39"/>
  <c r="E506" i="39"/>
  <c r="F584" i="39"/>
  <c r="C397" i="39"/>
  <c r="H705" i="39"/>
  <c r="D673" i="39"/>
  <c r="I567" i="39"/>
  <c r="E370" i="39"/>
  <c r="D74" i="39"/>
  <c r="C343" i="39"/>
  <c r="G22" i="39"/>
  <c r="E586" i="39"/>
  <c r="C748" i="39"/>
  <c r="G185" i="39"/>
  <c r="F711" i="39"/>
  <c r="G135" i="39"/>
  <c r="O22" i="9"/>
  <c r="H834" i="39"/>
  <c r="F77" i="39"/>
  <c r="I756" i="39"/>
  <c r="H807" i="39"/>
  <c r="E217" i="39"/>
  <c r="D227" i="39"/>
  <c r="C383" i="39"/>
  <c r="G14" i="39"/>
  <c r="F233" i="39"/>
  <c r="G456" i="39"/>
  <c r="E493" i="39"/>
  <c r="I507" i="39"/>
  <c r="I681" i="39"/>
  <c r="H428" i="39"/>
  <c r="F617" i="39"/>
  <c r="F686" i="39"/>
  <c r="F697" i="39"/>
  <c r="D454" i="39"/>
  <c r="F660" i="39"/>
  <c r="D755" i="39"/>
  <c r="H457" i="39"/>
  <c r="I602" i="39"/>
  <c r="F693" i="39"/>
  <c r="C966" i="39"/>
  <c r="D195" i="39"/>
  <c r="I1003" i="39"/>
  <c r="H246" i="39"/>
  <c r="F60" i="39"/>
  <c r="T8" i="9"/>
  <c r="E888" i="39"/>
  <c r="F515" i="39"/>
  <c r="I525" i="39"/>
  <c r="F929" i="39"/>
  <c r="E83" i="39"/>
  <c r="E241" i="39"/>
  <c r="H832" i="39"/>
  <c r="H768" i="39"/>
  <c r="E22" i="39"/>
  <c r="D539" i="39"/>
  <c r="E70" i="39"/>
  <c r="C301" i="39"/>
  <c r="D345" i="39"/>
  <c r="H400" i="39"/>
  <c r="H223" i="39"/>
  <c r="D973" i="39"/>
  <c r="E834" i="39"/>
  <c r="H524" i="39"/>
  <c r="I574" i="39"/>
  <c r="G1006" i="39"/>
  <c r="D357" i="39"/>
  <c r="C324" i="39"/>
  <c r="G367" i="39"/>
  <c r="D790" i="39"/>
  <c r="G225" i="39"/>
  <c r="C248" i="39"/>
  <c r="Q49" i="9"/>
  <c r="Q26" i="9"/>
  <c r="F6" i="8" s="1"/>
  <c r="I435" i="39"/>
  <c r="E736" i="39"/>
  <c r="H794" i="39"/>
  <c r="H583" i="39"/>
  <c r="O14" i="9"/>
  <c r="F661" i="39"/>
  <c r="C616" i="39"/>
  <c r="H649" i="39"/>
  <c r="K21" i="7"/>
  <c r="G265" i="39"/>
  <c r="H23" i="3"/>
  <c r="C896" i="39"/>
  <c r="I466" i="39"/>
  <c r="I5" i="39"/>
  <c r="E887" i="39"/>
  <c r="C204" i="39"/>
  <c r="F728" i="39"/>
  <c r="F183" i="39"/>
  <c r="G851" i="39"/>
  <c r="H875" i="39"/>
  <c r="H995" i="39"/>
  <c r="E168" i="39"/>
  <c r="O35" i="9"/>
  <c r="H184" i="39"/>
  <c r="F160" i="39"/>
  <c r="D580" i="39"/>
  <c r="D139" i="39"/>
  <c r="D737" i="39"/>
  <c r="D178" i="39"/>
  <c r="I722" i="39"/>
  <c r="C816" i="39"/>
  <c r="C327" i="39"/>
  <c r="G488" i="39"/>
  <c r="D196" i="39"/>
  <c r="H214" i="39"/>
  <c r="C983" i="39"/>
  <c r="H991" i="39"/>
  <c r="F977" i="39"/>
  <c r="G237" i="39"/>
  <c r="I797" i="39"/>
  <c r="E580" i="39"/>
  <c r="F882" i="39"/>
  <c r="E902" i="39"/>
  <c r="E939" i="39"/>
  <c r="F574" i="39"/>
  <c r="E879" i="39"/>
  <c r="I97" i="39"/>
  <c r="H727" i="39"/>
  <c r="C766" i="39"/>
  <c r="G917" i="39"/>
  <c r="C576" i="39"/>
  <c r="I394" i="39"/>
  <c r="C799" i="39"/>
  <c r="C332" i="39"/>
  <c r="G722" i="39"/>
  <c r="D746" i="39"/>
  <c r="F698" i="39"/>
  <c r="I260" i="39"/>
  <c r="H501" i="39"/>
  <c r="C241" i="39"/>
  <c r="C307" i="39"/>
  <c r="E399" i="39"/>
  <c r="F437" i="39"/>
  <c r="G117" i="39"/>
  <c r="D697" i="39"/>
  <c r="G939" i="39"/>
  <c r="C422" i="39"/>
  <c r="C572" i="39"/>
  <c r="E940" i="39"/>
  <c r="H568" i="39"/>
  <c r="C724" i="39"/>
  <c r="R50" i="9"/>
  <c r="Q50" i="9"/>
  <c r="P50" i="9"/>
  <c r="S50" i="9"/>
  <c r="O50" i="9"/>
  <c r="G894" i="39"/>
  <c r="H605" i="39"/>
  <c r="E387" i="39"/>
  <c r="G818" i="39"/>
  <c r="H792" i="39"/>
  <c r="F539" i="39"/>
  <c r="H615" i="39"/>
  <c r="G179" i="39"/>
  <c r="E891" i="39"/>
  <c r="H395" i="39"/>
  <c r="C695" i="39"/>
  <c r="D604" i="39"/>
  <c r="I657" i="39"/>
  <c r="D642" i="39"/>
  <c r="D567" i="39"/>
  <c r="E664" i="39"/>
  <c r="G582" i="39"/>
  <c r="E753" i="39"/>
  <c r="E946" i="39"/>
  <c r="T28" i="9"/>
  <c r="C537" i="39"/>
  <c r="C743" i="39"/>
  <c r="C60" i="39"/>
  <c r="G725" i="39"/>
  <c r="F1007" i="39"/>
  <c r="C1002" i="39"/>
  <c r="F189" i="39"/>
  <c r="D814" i="39"/>
  <c r="G590" i="39"/>
  <c r="G306" i="39"/>
  <c r="C330" i="39"/>
  <c r="H723" i="39"/>
  <c r="C665" i="39"/>
  <c r="G840" i="39"/>
  <c r="H830" i="39"/>
  <c r="I866" i="39"/>
  <c r="I890" i="39"/>
  <c r="H306" i="39"/>
  <c r="H334" i="39"/>
  <c r="D485" i="39"/>
  <c r="E1018" i="39"/>
  <c r="E571" i="39"/>
  <c r="F142" i="39"/>
  <c r="G550" i="39"/>
  <c r="G940" i="39"/>
  <c r="G411" i="39"/>
  <c r="F952" i="39"/>
  <c r="G1005" i="39"/>
  <c r="E896" i="39"/>
  <c r="E772" i="39"/>
  <c r="C986" i="39"/>
  <c r="I91" i="39"/>
  <c r="Q20" i="9"/>
  <c r="C552" i="39"/>
  <c r="H309" i="39"/>
  <c r="H663" i="39"/>
  <c r="G880" i="39"/>
  <c r="D742" i="39"/>
  <c r="H250" i="39"/>
  <c r="I611" i="39"/>
  <c r="I37" i="39"/>
  <c r="C27" i="39"/>
  <c r="G109" i="39"/>
  <c r="D1006" i="39"/>
  <c r="I601" i="39"/>
  <c r="G798" i="39"/>
  <c r="F678" i="39"/>
  <c r="G608" i="39"/>
  <c r="E318" i="39"/>
  <c r="D502" i="39"/>
  <c r="I679" i="39"/>
  <c r="H921" i="39"/>
  <c r="D554" i="39"/>
  <c r="F533" i="39"/>
  <c r="E269" i="39"/>
  <c r="C217" i="39"/>
  <c r="F839" i="39"/>
  <c r="G1019" i="39"/>
  <c r="E905" i="39"/>
  <c r="C959" i="39"/>
  <c r="G465" i="39"/>
  <c r="E667" i="39"/>
  <c r="C245" i="39"/>
  <c r="F752" i="39"/>
  <c r="D75" i="39"/>
  <c r="G904" i="39"/>
  <c r="C506" i="39"/>
  <c r="C818" i="39"/>
  <c r="C458" i="39"/>
  <c r="H182" i="39"/>
  <c r="C155" i="39"/>
  <c r="H914" i="39"/>
  <c r="I95" i="39"/>
  <c r="E942" i="39"/>
  <c r="H293" i="39"/>
  <c r="D14" i="39"/>
  <c r="D905" i="39"/>
  <c r="I995" i="39"/>
  <c r="E457" i="39"/>
  <c r="G444" i="39"/>
  <c r="H753" i="39"/>
  <c r="E285" i="39"/>
  <c r="I51" i="39"/>
  <c r="D266" i="39"/>
  <c r="D343" i="39"/>
  <c r="F247" i="39"/>
  <c r="F390" i="39"/>
  <c r="C104" i="39"/>
  <c r="E409" i="39"/>
  <c r="H280" i="39"/>
  <c r="E901" i="39"/>
  <c r="I852" i="39"/>
  <c r="G556" i="39"/>
  <c r="E348" i="39"/>
  <c r="I781" i="39"/>
  <c r="E877" i="39"/>
  <c r="I191" i="39"/>
  <c r="F362" i="39"/>
  <c r="I934" i="39"/>
  <c r="D399" i="39"/>
  <c r="F232" i="39"/>
  <c r="J21" i="7"/>
  <c r="E459" i="39"/>
  <c r="D370" i="39"/>
  <c r="E262" i="39"/>
  <c r="G351" i="39"/>
  <c r="G944" i="39"/>
  <c r="E696" i="39"/>
  <c r="F121" i="39"/>
  <c r="C573" i="39"/>
  <c r="H826" i="39"/>
  <c r="I197" i="39"/>
  <c r="C177" i="39"/>
  <c r="H597" i="39"/>
  <c r="O42" i="9"/>
  <c r="H609" i="39"/>
  <c r="I318" i="39"/>
  <c r="H29" i="3"/>
  <c r="F959" i="39"/>
  <c r="G148" i="39"/>
  <c r="H892" i="39"/>
  <c r="H247" i="39"/>
  <c r="F469" i="39"/>
  <c r="C640" i="39"/>
  <c r="I557" i="39"/>
  <c r="G890" i="39"/>
  <c r="F804" i="39"/>
  <c r="F782" i="39"/>
  <c r="E836" i="39"/>
  <c r="S18" i="9"/>
  <c r="C314" i="39"/>
  <c r="H971" i="39"/>
  <c r="D801" i="39"/>
  <c r="D918" i="39"/>
  <c r="O18" i="9"/>
  <c r="H226" i="39"/>
  <c r="C731" i="39"/>
  <c r="F963" i="39"/>
  <c r="F792" i="39"/>
  <c r="F476" i="39"/>
  <c r="D669" i="39"/>
  <c r="F542" i="39"/>
  <c r="C968" i="39"/>
  <c r="C876" i="39"/>
  <c r="H895" i="39"/>
  <c r="F210" i="39"/>
  <c r="F727" i="39"/>
  <c r="I708" i="39"/>
  <c r="E682" i="39"/>
  <c r="G813" i="39"/>
  <c r="H435" i="39"/>
  <c r="F258" i="39"/>
  <c r="C1015" i="39"/>
  <c r="H164" i="39"/>
  <c r="T11" i="9"/>
  <c r="E606" i="39"/>
  <c r="E824" i="39"/>
  <c r="D1021" i="39"/>
  <c r="D599" i="39"/>
  <c r="D229" i="39"/>
  <c r="C855" i="39"/>
  <c r="E218" i="39"/>
  <c r="G610" i="39"/>
  <c r="G364" i="39"/>
  <c r="C652" i="39"/>
  <c r="E674" i="39"/>
  <c r="F590" i="39"/>
  <c r="I23" i="39"/>
  <c r="E763" i="39"/>
  <c r="G317" i="39"/>
  <c r="I251" i="39"/>
  <c r="G892" i="39"/>
  <c r="G869" i="39"/>
  <c r="I918" i="39"/>
  <c r="G437" i="39"/>
  <c r="D750" i="39"/>
  <c r="D237" i="39"/>
  <c r="H879" i="39"/>
  <c r="G726" i="39"/>
  <c r="G949" i="39"/>
  <c r="F223" i="39"/>
  <c r="F953" i="39"/>
  <c r="F834" i="39"/>
  <c r="F101" i="39"/>
  <c r="G1024" i="39"/>
  <c r="D903" i="39"/>
  <c r="G707" i="39"/>
  <c r="C187" i="39"/>
  <c r="F472" i="39"/>
  <c r="H976" i="39"/>
  <c r="E280" i="39"/>
  <c r="I644" i="39"/>
  <c r="G551" i="39"/>
  <c r="F344" i="39"/>
  <c r="I986" i="39"/>
  <c r="C268" i="39"/>
  <c r="E869" i="39"/>
  <c r="F123" i="39"/>
  <c r="G483" i="39"/>
  <c r="E45" i="39"/>
  <c r="D863" i="39"/>
  <c r="C761" i="39"/>
  <c r="F365" i="39"/>
  <c r="C346" i="39"/>
  <c r="E1021" i="39"/>
  <c r="E728" i="39"/>
  <c r="G825" i="39"/>
  <c r="T13" i="9"/>
  <c r="C309" i="39"/>
  <c r="C693" i="39"/>
  <c r="H624" i="39"/>
  <c r="H253" i="39"/>
  <c r="D535" i="39"/>
  <c r="D521" i="39"/>
  <c r="S9" i="9"/>
  <c r="F261" i="39"/>
  <c r="F744" i="39"/>
  <c r="C961" i="39"/>
  <c r="D1013" i="39"/>
  <c r="D190" i="39"/>
  <c r="E967" i="39"/>
  <c r="G489" i="39"/>
  <c r="C1000" i="39"/>
  <c r="H603" i="39"/>
  <c r="G220" i="39"/>
  <c r="E692" i="39"/>
  <c r="D769" i="39"/>
  <c r="D631" i="39"/>
  <c r="D51" i="39"/>
  <c r="D840" i="39"/>
  <c r="H851" i="39"/>
  <c r="D967" i="39"/>
  <c r="D799" i="39"/>
  <c r="E450" i="39"/>
  <c r="R35" i="9"/>
  <c r="I78" i="39"/>
  <c r="D625" i="39"/>
  <c r="F408" i="39"/>
  <c r="I952" i="39"/>
  <c r="D488" i="39"/>
  <c r="I965" i="39"/>
  <c r="C87" i="39"/>
  <c r="G921" i="39"/>
  <c r="H632" i="39"/>
  <c r="G162" i="39"/>
  <c r="I662" i="39"/>
  <c r="E957" i="39"/>
  <c r="E94" i="39"/>
  <c r="I928" i="39"/>
  <c r="H215" i="39"/>
  <c r="C272" i="39"/>
  <c r="G478" i="39"/>
  <c r="E41" i="39"/>
  <c r="I974" i="39"/>
  <c r="H371" i="39"/>
  <c r="C421" i="39"/>
  <c r="E808" i="39"/>
  <c r="C455" i="39"/>
  <c r="C276" i="39"/>
  <c r="H989" i="39"/>
  <c r="C401" i="39"/>
  <c r="H555" i="39"/>
  <c r="F353" i="39"/>
  <c r="E949" i="39"/>
  <c r="C623" i="39"/>
  <c r="D6" i="39"/>
  <c r="H9" i="3"/>
  <c r="E350" i="39"/>
  <c r="F225" i="39"/>
  <c r="I398" i="39"/>
  <c r="F1015" i="39"/>
  <c r="E4" i="39"/>
  <c r="I219" i="39"/>
  <c r="H983" i="39"/>
  <c r="H821" i="39"/>
  <c r="H893" i="39"/>
  <c r="F633" i="39"/>
  <c r="I1002" i="39"/>
  <c r="G954" i="39"/>
  <c r="I661" i="39"/>
  <c r="S14" i="9"/>
  <c r="H930" i="39"/>
  <c r="D142" i="39"/>
  <c r="H954" i="39"/>
  <c r="I39" i="39"/>
  <c r="D11" i="39"/>
  <c r="C901" i="39"/>
  <c r="D15" i="39"/>
  <c r="E769" i="39"/>
  <c r="F923" i="39"/>
  <c r="G275" i="39"/>
  <c r="T17" i="9"/>
  <c r="F79" i="39"/>
  <c r="G773" i="39"/>
  <c r="H746" i="39"/>
  <c r="G331" i="39"/>
  <c r="D65" i="39"/>
  <c r="D517" i="39"/>
  <c r="G1022" i="39"/>
  <c r="E458" i="39"/>
  <c r="F671" i="39"/>
  <c r="F388" i="39"/>
  <c r="G369" i="39"/>
  <c r="C452" i="39"/>
  <c r="E550" i="39"/>
  <c r="G25" i="39"/>
  <c r="F45" i="39"/>
  <c r="H786" i="39"/>
  <c r="F878" i="39"/>
  <c r="G414" i="39"/>
  <c r="F306" i="39"/>
  <c r="F734" i="39"/>
  <c r="I664" i="39"/>
  <c r="I533" i="39"/>
  <c r="C62" i="39"/>
  <c r="G730" i="39"/>
  <c r="H465" i="39"/>
  <c r="H31" i="39"/>
  <c r="I822" i="39"/>
  <c r="E587" i="39"/>
  <c r="C686" i="39"/>
  <c r="C394" i="39"/>
  <c r="D425" i="39"/>
  <c r="G505" i="39"/>
  <c r="F773" i="39"/>
  <c r="G384" i="39"/>
  <c r="D529" i="39"/>
  <c r="E18" i="39"/>
  <c r="H940" i="39"/>
  <c r="H730" i="39"/>
  <c r="C405" i="39"/>
  <c r="G15" i="39"/>
  <c r="H589" i="39"/>
  <c r="D678" i="39"/>
  <c r="F192" i="39"/>
  <c r="F578" i="39"/>
  <c r="C710" i="39"/>
  <c r="Q21" i="9"/>
  <c r="F36" i="39"/>
  <c r="D159" i="39"/>
  <c r="I582" i="39"/>
  <c r="D758" i="39"/>
  <c r="F402" i="39"/>
  <c r="G524" i="39"/>
  <c r="C567" i="39"/>
  <c r="C785" i="39"/>
  <c r="H906" i="39"/>
  <c r="D350" i="39"/>
  <c r="C270" i="39"/>
  <c r="G549" i="39"/>
  <c r="I900" i="39"/>
  <c r="I684" i="39"/>
  <c r="F641" i="39"/>
  <c r="H24" i="39"/>
  <c r="E679" i="39"/>
  <c r="F585" i="39"/>
  <c r="E894" i="39"/>
  <c r="C262" i="39"/>
  <c r="G686" i="39"/>
  <c r="E737" i="39"/>
  <c r="F622" i="39"/>
  <c r="D1005" i="39"/>
  <c r="E637" i="39"/>
  <c r="G564" i="39"/>
  <c r="G353" i="39"/>
  <c r="F315" i="39"/>
  <c r="G98" i="39"/>
  <c r="D414" i="39"/>
  <c r="D698" i="39"/>
  <c r="G509" i="39"/>
  <c r="D458" i="39"/>
  <c r="F723" i="39"/>
  <c r="E203" i="39"/>
  <c r="C897" i="39"/>
  <c r="H710" i="39"/>
  <c r="G682" i="39"/>
  <c r="I92" i="39"/>
  <c r="G827" i="39"/>
  <c r="F171" i="39"/>
  <c r="C58" i="39"/>
  <c r="H797" i="39"/>
  <c r="D144" i="39"/>
  <c r="F768" i="39"/>
  <c r="E779" i="39"/>
  <c r="G691" i="39"/>
  <c r="F982" i="39"/>
  <c r="D198" i="39"/>
  <c r="F988" i="39"/>
  <c r="E546" i="39"/>
  <c r="G104" i="39"/>
  <c r="E1013" i="39"/>
  <c r="C1021" i="39"/>
  <c r="D487" i="39"/>
  <c r="I665" i="39"/>
  <c r="D457" i="39"/>
  <c r="D768" i="39"/>
  <c r="C7" i="39"/>
  <c r="H949" i="39"/>
  <c r="D651" i="39"/>
  <c r="D783" i="39"/>
  <c r="E673" i="39"/>
  <c r="G103" i="39"/>
  <c r="D822" i="39"/>
  <c r="G587" i="39"/>
  <c r="C906" i="39"/>
  <c r="E569" i="39"/>
  <c r="C669" i="39"/>
  <c r="H878" i="39"/>
  <c r="D732" i="39"/>
  <c r="I81" i="39"/>
  <c r="E749" i="39"/>
  <c r="F202" i="39"/>
  <c r="G698" i="39"/>
  <c r="H530" i="39"/>
  <c r="F885" i="39"/>
  <c r="F234" i="39"/>
  <c r="I788" i="39"/>
  <c r="D281" i="39"/>
  <c r="S33" i="9"/>
  <c r="K8" i="7"/>
  <c r="C485" i="39"/>
  <c r="E74" i="39"/>
  <c r="G161" i="39"/>
  <c r="I474" i="39"/>
  <c r="D824" i="39"/>
  <c r="F675" i="39"/>
  <c r="F790" i="39"/>
  <c r="H238" i="39"/>
  <c r="C143" i="39"/>
  <c r="H594" i="39"/>
  <c r="E686" i="39"/>
  <c r="C396" i="39"/>
  <c r="H303" i="39"/>
  <c r="G52" i="39"/>
  <c r="E396" i="39"/>
  <c r="E955" i="39"/>
  <c r="H14" i="39"/>
  <c r="F150" i="39"/>
  <c r="H86" i="39"/>
  <c r="I920" i="39"/>
  <c r="E672" i="39"/>
  <c r="G721" i="39"/>
  <c r="G1010" i="39"/>
  <c r="O29" i="9"/>
  <c r="E341" i="39"/>
  <c r="G769" i="39"/>
  <c r="C178" i="39"/>
  <c r="D776" i="39"/>
  <c r="D369" i="39"/>
  <c r="C46" i="39"/>
  <c r="I314" i="39"/>
  <c r="C638" i="39"/>
  <c r="G257" i="39"/>
  <c r="H977" i="39"/>
  <c r="G269" i="39"/>
  <c r="H725" i="39"/>
  <c r="F214" i="39"/>
  <c r="C85" i="39"/>
  <c r="H684" i="39"/>
  <c r="H639" i="39"/>
  <c r="I69" i="39"/>
  <c r="H984" i="39"/>
  <c r="H255" i="39"/>
  <c r="C229" i="39"/>
  <c r="C917" i="39"/>
  <c r="C265" i="39"/>
  <c r="H889" i="39"/>
  <c r="F317" i="39"/>
  <c r="O21" i="9"/>
  <c r="G516" i="39"/>
  <c r="I158" i="39"/>
  <c r="F174" i="39"/>
  <c r="I168" i="39"/>
  <c r="G597" i="39"/>
  <c r="E26" i="39"/>
  <c r="I897" i="39"/>
  <c r="G948" i="39"/>
  <c r="C427" i="39"/>
  <c r="G950" i="39"/>
  <c r="F1000" i="39"/>
  <c r="C337" i="39"/>
  <c r="G38" i="39"/>
  <c r="D455" i="39"/>
  <c r="E920" i="39"/>
  <c r="D842" i="39"/>
  <c r="I487" i="39"/>
  <c r="D132" i="39"/>
  <c r="H771" i="39"/>
  <c r="D60" i="39"/>
  <c r="G359" i="39"/>
  <c r="I763" i="39"/>
  <c r="H600" i="39"/>
  <c r="H141" i="39"/>
  <c r="D679" i="39"/>
  <c r="D597" i="39"/>
  <c r="P33" i="9"/>
  <c r="H8" i="7"/>
  <c r="E739" i="39"/>
  <c r="O12" i="9"/>
  <c r="G832" i="39"/>
  <c r="G67" i="39"/>
  <c r="H292" i="39"/>
  <c r="G128" i="39"/>
  <c r="H521" i="39"/>
  <c r="F808" i="39"/>
  <c r="H507" i="39"/>
  <c r="C127" i="39"/>
  <c r="C1022" i="39"/>
  <c r="I594" i="39"/>
  <c r="F1014" i="39"/>
  <c r="K9" i="7"/>
  <c r="S38" i="9"/>
  <c r="G742" i="39"/>
  <c r="I13" i="39"/>
  <c r="I949" i="39"/>
  <c r="D302" i="39"/>
  <c r="G50" i="39"/>
  <c r="D203" i="39"/>
  <c r="D807" i="39"/>
  <c r="C345" i="39"/>
  <c r="C956" i="39"/>
  <c r="G226" i="39"/>
  <c r="D318" i="39"/>
  <c r="F208" i="39"/>
  <c r="C31" i="39"/>
  <c r="G282" i="39"/>
  <c r="I339" i="39"/>
  <c r="D974" i="39"/>
  <c r="D559" i="39"/>
  <c r="I958" i="39"/>
  <c r="E678" i="39"/>
  <c r="E584" i="39"/>
  <c r="I140" i="39"/>
  <c r="G993" i="39"/>
  <c r="F688" i="39"/>
  <c r="I21" i="7"/>
  <c r="H992" i="39"/>
  <c r="E976" i="39"/>
  <c r="E944" i="39"/>
  <c r="H882" i="39"/>
  <c r="H634" i="39"/>
  <c r="G613" i="39"/>
  <c r="H19" i="39"/>
  <c r="H158" i="39"/>
  <c r="E275" i="39"/>
  <c r="F1010" i="39"/>
  <c r="D489" i="39"/>
  <c r="D975" i="39"/>
  <c r="I82" i="39"/>
  <c r="D861" i="39"/>
  <c r="H846" i="39"/>
  <c r="E429" i="39"/>
  <c r="F713" i="39"/>
  <c r="G495" i="39"/>
  <c r="I754" i="39"/>
  <c r="E975" i="39"/>
  <c r="I924" i="39"/>
  <c r="I1004" i="39"/>
  <c r="G532" i="39"/>
  <c r="F227" i="39"/>
  <c r="E1020" i="39"/>
  <c r="E153" i="39"/>
  <c r="D307" i="39"/>
  <c r="G88" i="39"/>
  <c r="G299" i="39"/>
  <c r="F32" i="39"/>
  <c r="G876" i="39"/>
  <c r="P13" i="9"/>
  <c r="G788" i="39"/>
  <c r="D32" i="39"/>
  <c r="G887" i="39"/>
  <c r="E937" i="39"/>
  <c r="C655" i="39"/>
  <c r="H642" i="39"/>
  <c r="I939" i="39"/>
  <c r="Q23" i="9"/>
  <c r="I697" i="39"/>
  <c r="E842" i="39"/>
  <c r="I670" i="39"/>
  <c r="I844" i="39"/>
  <c r="E660" i="39"/>
  <c r="C140" i="39"/>
  <c r="D383" i="39"/>
  <c r="E410" i="39"/>
  <c r="H366" i="39"/>
  <c r="H78" i="39"/>
  <c r="G603" i="39"/>
  <c r="I570" i="39"/>
  <c r="D547" i="39"/>
  <c r="E79" i="39"/>
  <c r="C565" i="39"/>
  <c r="C858" i="39"/>
  <c r="H814" i="39"/>
  <c r="H482" i="39"/>
  <c r="D578" i="39"/>
  <c r="H287" i="39"/>
  <c r="H591" i="39"/>
  <c r="C238" i="39"/>
  <c r="F795" i="39"/>
  <c r="H728" i="39"/>
  <c r="F433" i="39"/>
  <c r="C424" i="39"/>
  <c r="C79" i="39"/>
  <c r="D643" i="39"/>
  <c r="D115" i="39"/>
  <c r="H203" i="39"/>
  <c r="S17" i="9"/>
  <c r="D404" i="39"/>
  <c r="C10" i="39"/>
  <c r="G58" i="39"/>
  <c r="G988" i="39"/>
  <c r="D600" i="39"/>
  <c r="D639" i="39"/>
  <c r="F970" i="39"/>
  <c r="C744" i="39"/>
  <c r="D942" i="39"/>
  <c r="C847" i="39"/>
  <c r="C492" i="39"/>
  <c r="E268" i="39"/>
  <c r="F281" i="39"/>
  <c r="I171" i="39"/>
  <c r="C35" i="39"/>
  <c r="C530" i="39"/>
  <c r="C545" i="39"/>
  <c r="E76" i="39"/>
  <c r="H349" i="39"/>
  <c r="H712" i="39"/>
  <c r="E379" i="39"/>
  <c r="F968" i="39"/>
  <c r="C856" i="39"/>
  <c r="C2" i="39"/>
  <c r="E767" i="39"/>
  <c r="G819" i="39"/>
  <c r="D42" i="39"/>
  <c r="C980" i="39"/>
  <c r="E786" i="39"/>
  <c r="E362" i="39"/>
  <c r="G273" i="39"/>
  <c r="G336" i="39"/>
  <c r="C765" i="39"/>
  <c r="I25" i="39"/>
  <c r="F809" i="39"/>
  <c r="G1023" i="39"/>
  <c r="D586" i="39"/>
  <c r="D447" i="39"/>
  <c r="I953" i="39"/>
  <c r="H1011" i="39"/>
  <c r="F793" i="39"/>
  <c r="H470" i="39"/>
  <c r="H200" i="39"/>
  <c r="E402" i="39"/>
  <c r="I358" i="39"/>
  <c r="C975" i="39"/>
  <c r="G515" i="39"/>
  <c r="E381" i="39"/>
  <c r="H681" i="39"/>
  <c r="H417" i="39"/>
  <c r="D916" i="39"/>
  <c r="H916" i="39"/>
  <c r="I871" i="39"/>
  <c r="C827" i="39"/>
  <c r="C740" i="39"/>
  <c r="G766" i="39"/>
  <c r="E927" i="39"/>
  <c r="E874" i="39"/>
  <c r="G829" i="39"/>
  <c r="C349" i="39"/>
  <c r="H308" i="39"/>
  <c r="T38" i="9"/>
  <c r="G389" i="39"/>
  <c r="G861" i="39"/>
  <c r="G646" i="39"/>
  <c r="F991" i="39"/>
  <c r="H842" i="39"/>
  <c r="I498" i="39"/>
  <c r="I308" i="39"/>
  <c r="G621" i="39"/>
  <c r="I848" i="39"/>
  <c r="I1007" i="39"/>
  <c r="I48" i="39"/>
  <c r="R19" i="9"/>
  <c r="D257" i="39"/>
  <c r="H713" i="39"/>
  <c r="D31" i="39"/>
  <c r="D805" i="39"/>
  <c r="I636" i="39"/>
  <c r="C994" i="39"/>
  <c r="G593" i="39"/>
  <c r="H593" i="39"/>
  <c r="D127" i="39"/>
  <c r="C106" i="39"/>
  <c r="F774" i="39"/>
  <c r="E474" i="39"/>
  <c r="F537" i="39"/>
  <c r="F442" i="39"/>
  <c r="F738" i="39"/>
  <c r="H678" i="39"/>
  <c r="F492" i="39"/>
  <c r="F778" i="39"/>
  <c r="D617" i="39"/>
  <c r="G547" i="39"/>
  <c r="C883" i="39"/>
  <c r="H700" i="39"/>
  <c r="C544" i="39"/>
  <c r="G525" i="39"/>
  <c r="H245" i="39"/>
  <c r="I926" i="39"/>
  <c r="D773" i="39"/>
  <c r="C599" i="39"/>
  <c r="D283" i="39"/>
  <c r="H353" i="39"/>
  <c r="E65" i="39"/>
  <c r="I246" i="39"/>
  <c r="E791" i="39"/>
  <c r="C834" i="39"/>
  <c r="G13" i="39"/>
  <c r="H240" i="39"/>
  <c r="I427" i="39"/>
  <c r="D873" i="39"/>
  <c r="D375" i="39"/>
  <c r="O23" i="9"/>
  <c r="H894" i="39"/>
  <c r="E183" i="39"/>
  <c r="C773" i="39"/>
  <c r="C42" i="39"/>
  <c r="C668" i="39"/>
  <c r="T39" i="9"/>
  <c r="F514" i="39"/>
  <c r="C822" i="39"/>
  <c r="F296" i="39"/>
  <c r="I14" i="39"/>
  <c r="G589" i="39"/>
  <c r="D907" i="39"/>
  <c r="D1003" i="39"/>
  <c r="F140" i="39"/>
  <c r="I371" i="39"/>
  <c r="H836" i="39"/>
  <c r="C1011" i="39"/>
  <c r="G633" i="39"/>
  <c r="I1016" i="39"/>
  <c r="H113" i="39"/>
  <c r="E514" i="39"/>
  <c r="F998" i="39"/>
  <c r="G705" i="39"/>
  <c r="H244" i="39"/>
  <c r="G1009" i="39"/>
  <c r="E809" i="39"/>
  <c r="I381" i="39"/>
  <c r="I325" i="39"/>
  <c r="D885" i="39"/>
  <c r="I232" i="39"/>
  <c r="D277" i="39"/>
  <c r="G294" i="39"/>
  <c r="C49" i="39"/>
  <c r="E758" i="39"/>
  <c r="E294" i="39"/>
  <c r="P29" i="9"/>
  <c r="E382" i="39"/>
  <c r="F350" i="39"/>
  <c r="E122" i="39"/>
  <c r="C934" i="39"/>
  <c r="G733" i="39"/>
  <c r="H479" i="39"/>
  <c r="F951" i="39"/>
  <c r="G49" i="39"/>
  <c r="D798" i="39"/>
  <c r="I363" i="39"/>
  <c r="C361" i="39"/>
  <c r="G494" i="39"/>
  <c r="C518" i="39"/>
  <c r="H764" i="39"/>
  <c r="C4" i="39"/>
  <c r="G360" i="39"/>
  <c r="F849" i="39"/>
  <c r="F215" i="39"/>
  <c r="I595" i="39"/>
  <c r="I777" i="39"/>
  <c r="E464" i="39"/>
  <c r="E754" i="39"/>
  <c r="G426" i="39"/>
  <c r="D308" i="39"/>
  <c r="G740" i="39"/>
  <c r="G466" i="39"/>
  <c r="G841" i="39"/>
  <c r="E407" i="39"/>
  <c r="H887" i="39"/>
  <c r="I1" i="39"/>
  <c r="F546" i="39"/>
  <c r="I893" i="39"/>
  <c r="C20" i="39"/>
  <c r="C479" i="39"/>
  <c r="D820" i="39"/>
  <c r="H27" i="3"/>
  <c r="F128" i="39"/>
  <c r="H153" i="39"/>
  <c r="C171" i="39"/>
  <c r="D402" i="39"/>
  <c r="E933" i="39"/>
  <c r="I46" i="39"/>
  <c r="G661" i="39"/>
  <c r="C725" i="39"/>
  <c r="C911" i="39"/>
  <c r="E702" i="39"/>
  <c r="H143" i="39"/>
  <c r="E291" i="39"/>
  <c r="G529" i="39"/>
  <c r="C698" i="39"/>
  <c r="T21" i="9"/>
  <c r="F1016" i="39"/>
  <c r="C985" i="39"/>
  <c r="R22" i="9"/>
  <c r="E369" i="39"/>
  <c r="F409" i="39"/>
  <c r="F523" i="39"/>
  <c r="D998" i="39"/>
  <c r="D705" i="39"/>
  <c r="C122" i="39"/>
  <c r="I590" i="39"/>
  <c r="D766" i="39"/>
  <c r="G311" i="39"/>
  <c r="G21" i="39"/>
  <c r="D716" i="39"/>
  <c r="E344" i="39"/>
  <c r="H97" i="39"/>
  <c r="F145" i="39"/>
  <c r="H502" i="39"/>
  <c r="S10" i="9"/>
  <c r="E658" i="39"/>
  <c r="I932" i="39"/>
  <c r="D328" i="39"/>
  <c r="C978" i="39"/>
  <c r="D598" i="39"/>
  <c r="H345" i="39"/>
  <c r="H58" i="39"/>
  <c r="C426" i="39"/>
  <c r="R16" i="9"/>
  <c r="E717" i="39"/>
  <c r="H544" i="39"/>
  <c r="I35" i="39"/>
  <c r="F855" i="39"/>
  <c r="C910" i="39"/>
  <c r="I755" i="39"/>
  <c r="G922" i="39"/>
  <c r="D581" i="39"/>
  <c r="I922" i="39"/>
  <c r="H657" i="39"/>
  <c r="D1004" i="39"/>
  <c r="I347" i="39"/>
  <c r="G905" i="39"/>
  <c r="I505" i="39"/>
  <c r="I916" i="39"/>
  <c r="F893" i="39"/>
  <c r="I370" i="39"/>
  <c r="F62" i="39"/>
  <c r="E151" i="39"/>
  <c r="I1014" i="39"/>
  <c r="C570" i="39"/>
  <c r="D3" i="39"/>
  <c r="G182" i="39"/>
  <c r="E665" i="39"/>
  <c r="F262" i="39"/>
  <c r="C123" i="39"/>
  <c r="E782" i="39"/>
  <c r="G747" i="39"/>
  <c r="D649" i="39"/>
  <c r="C438" i="39"/>
  <c r="C366" i="39"/>
  <c r="C139" i="39"/>
  <c r="R10" i="9"/>
  <c r="C519" i="39"/>
  <c r="C414" i="39"/>
  <c r="C999" i="39"/>
  <c r="C737" i="39"/>
  <c r="H743" i="39"/>
  <c r="D570" i="39"/>
  <c r="C442" i="39"/>
  <c r="F845" i="39"/>
  <c r="F624" i="39"/>
  <c r="I334" i="39"/>
  <c r="C351" i="39"/>
  <c r="F285" i="39"/>
  <c r="C293" i="39"/>
  <c r="G144" i="39"/>
  <c r="F148" i="39"/>
  <c r="I812" i="39"/>
  <c r="G212" i="39"/>
  <c r="F398" i="39"/>
  <c r="F508" i="39"/>
  <c r="E540" i="39"/>
  <c r="C275" i="39"/>
  <c r="G334" i="39"/>
  <c r="E712" i="39"/>
  <c r="G272" i="39"/>
  <c r="F186" i="39"/>
  <c r="C907" i="39"/>
  <c r="F170" i="39"/>
  <c r="H416" i="39"/>
  <c r="G811" i="39"/>
  <c r="E1014" i="39"/>
  <c r="C504" i="39"/>
  <c r="C130" i="39"/>
  <c r="C500" i="39"/>
  <c r="G854" i="39"/>
  <c r="G584" i="39"/>
  <c r="D898" i="39"/>
  <c r="I437" i="39"/>
  <c r="G969" i="39"/>
  <c r="F717" i="39"/>
  <c r="G417" i="39"/>
  <c r="F218" i="39"/>
  <c r="C632" i="39"/>
  <c r="H607" i="39"/>
  <c r="H389" i="39"/>
  <c r="H951" i="39"/>
  <c r="I515" i="39"/>
  <c r="E622" i="39"/>
  <c r="D774" i="39"/>
  <c r="D1" i="39"/>
  <c r="I53" i="39"/>
  <c r="I227" i="39"/>
  <c r="C852" i="39"/>
  <c r="I279" i="39"/>
  <c r="G443" i="39"/>
  <c r="F813" i="39"/>
  <c r="C340" i="39"/>
  <c r="D520" i="39"/>
  <c r="D745" i="39"/>
  <c r="E715" i="39"/>
  <c r="I683" i="39"/>
  <c r="I585" i="39"/>
  <c r="I128" i="39"/>
  <c r="E266" i="39"/>
  <c r="F971" i="39"/>
  <c r="I361" i="39"/>
  <c r="D816" i="39"/>
  <c r="E574" i="39"/>
  <c r="C32" i="39"/>
  <c r="G652" i="39"/>
  <c r="E988" i="39"/>
  <c r="F720" i="39"/>
  <c r="E840" i="39"/>
  <c r="E1009" i="39"/>
  <c r="G666" i="39"/>
  <c r="H827" i="39"/>
  <c r="G847" i="39"/>
  <c r="D970" i="39"/>
  <c r="G857" i="39"/>
  <c r="H570" i="39"/>
  <c r="F796" i="39"/>
  <c r="F203" i="39"/>
  <c r="E216" i="39"/>
  <c r="G385" i="39"/>
  <c r="H517" i="39"/>
  <c r="F856" i="39"/>
  <c r="F61" i="39"/>
  <c r="H581" i="39"/>
  <c r="F876" i="39"/>
  <c r="F626" i="39"/>
  <c r="I957" i="39"/>
  <c r="H335" i="39"/>
  <c r="F858" i="39"/>
  <c r="H463" i="39"/>
  <c r="G290" i="39"/>
  <c r="F292" i="39"/>
  <c r="E89" i="39"/>
  <c r="H93" i="39"/>
  <c r="F538" i="39"/>
  <c r="D171" i="39"/>
  <c r="E222" i="39"/>
  <c r="C559" i="39"/>
  <c r="D936" i="39"/>
  <c r="G866" i="39"/>
  <c r="F286" i="39"/>
  <c r="G324" i="39"/>
  <c r="H269" i="39"/>
  <c r="I954" i="39"/>
  <c r="I34" i="39"/>
  <c r="G100" i="39"/>
  <c r="G631" i="39"/>
  <c r="D358" i="39"/>
  <c r="C779" i="39"/>
  <c r="I117" i="39"/>
  <c r="H16" i="3"/>
  <c r="F162" i="39"/>
  <c r="I526" i="39"/>
  <c r="I814" i="39"/>
  <c r="G156" i="39"/>
  <c r="F275" i="39"/>
  <c r="C313" i="39"/>
  <c r="E8" i="39"/>
  <c r="H228" i="39"/>
  <c r="I710" i="39"/>
  <c r="C522" i="39"/>
  <c r="I663" i="39"/>
  <c r="H551" i="39"/>
  <c r="E112" i="39"/>
  <c r="H461" i="39"/>
  <c r="F70" i="39"/>
  <c r="I312" i="39"/>
  <c r="F483" i="39"/>
  <c r="F1018" i="39"/>
  <c r="F213" i="39"/>
  <c r="D515" i="39"/>
  <c r="P41" i="9"/>
  <c r="C661" i="39"/>
  <c r="C660" i="39"/>
  <c r="D287" i="39"/>
  <c r="F475" i="39"/>
  <c r="F56" i="39"/>
  <c r="G884" i="39"/>
  <c r="I199" i="39"/>
  <c r="E286" i="39"/>
  <c r="D619" i="39"/>
  <c r="H566" i="39"/>
  <c r="E40" i="39"/>
  <c r="D874" i="39"/>
  <c r="E322" i="39"/>
  <c r="H852" i="39"/>
  <c r="G999" i="39"/>
  <c r="C584" i="39"/>
  <c r="D700" i="39"/>
  <c r="C692" i="39"/>
  <c r="H449" i="39"/>
  <c r="G845" i="39"/>
  <c r="H958" i="39"/>
  <c r="C1001" i="39"/>
  <c r="D444" i="39"/>
  <c r="H586" i="39"/>
  <c r="C145" i="39"/>
  <c r="I229" i="39"/>
  <c r="E1015" i="39"/>
  <c r="G965" i="39"/>
  <c r="G715" i="39"/>
  <c r="I366" i="39"/>
  <c r="C821" i="39"/>
  <c r="I1023" i="39"/>
  <c r="F1021" i="39"/>
  <c r="C850" i="39"/>
  <c r="H671" i="39"/>
  <c r="C256" i="39"/>
  <c r="C231" i="39"/>
  <c r="G452" i="39"/>
  <c r="F252" i="39"/>
  <c r="C336" i="39"/>
  <c r="Q11" i="9"/>
  <c r="C533" i="39"/>
  <c r="G863" i="39"/>
  <c r="I909" i="39"/>
  <c r="C812" i="39"/>
  <c r="F803" i="39"/>
  <c r="C900" i="39"/>
  <c r="D844" i="39"/>
  <c r="F706" i="39"/>
  <c r="H560" i="39"/>
  <c r="E306" i="39"/>
  <c r="F552" i="39"/>
  <c r="C234" i="39"/>
  <c r="I908" i="39"/>
  <c r="C538" i="39"/>
  <c r="H698" i="39"/>
  <c r="E911" i="39"/>
  <c r="H717" i="39"/>
  <c r="C984" i="39"/>
  <c r="E230" i="39"/>
  <c r="C395" i="39"/>
  <c r="I742" i="39"/>
  <c r="F901" i="39"/>
  <c r="H249" i="39"/>
  <c r="G537" i="39"/>
  <c r="F567" i="39"/>
  <c r="D854" i="39"/>
  <c r="H192" i="39"/>
  <c r="H136" i="39"/>
  <c r="I269" i="39"/>
  <c r="C16" i="39"/>
  <c r="G923" i="39"/>
  <c r="I658" i="39"/>
  <c r="F598" i="39"/>
  <c r="C285" i="39"/>
  <c r="I458" i="39"/>
  <c r="D233" i="39"/>
  <c r="G893" i="39"/>
  <c r="G430" i="39"/>
  <c r="I253" i="39"/>
  <c r="E727" i="39"/>
  <c r="D811" i="39"/>
  <c r="I116" i="39"/>
  <c r="F196" i="39"/>
  <c r="F994" i="39"/>
  <c r="C580" i="39"/>
  <c r="I735" i="39"/>
  <c r="I610" i="39"/>
  <c r="D440" i="39"/>
  <c r="C675" i="39"/>
  <c r="E321" i="39"/>
  <c r="E181" i="39"/>
  <c r="I872" i="39"/>
  <c r="E140" i="39"/>
  <c r="C534" i="39"/>
  <c r="G405" i="39"/>
  <c r="I522" i="39"/>
  <c r="D756" i="39"/>
  <c r="C154" i="39"/>
  <c r="C859" i="39"/>
  <c r="S34" i="9"/>
  <c r="E565" i="39"/>
  <c r="C36" i="39"/>
  <c r="C392" i="39"/>
  <c r="H341" i="39"/>
  <c r="F917" i="39"/>
  <c r="I413" i="39"/>
  <c r="E722" i="39"/>
  <c r="C489" i="39"/>
  <c r="E972" i="39"/>
  <c r="I404" i="39"/>
  <c r="G536" i="39"/>
  <c r="E993" i="39"/>
  <c r="D347" i="39"/>
  <c r="H454" i="39"/>
  <c r="C279" i="39"/>
  <c r="C78" i="39"/>
  <c r="H420" i="39"/>
  <c r="F884" i="39"/>
  <c r="I491" i="39"/>
  <c r="D321" i="39"/>
  <c r="E961" i="39"/>
  <c r="D747" i="39"/>
  <c r="C267" i="39"/>
  <c r="G1020" i="39"/>
  <c r="F369" i="39"/>
  <c r="E296" i="39"/>
  <c r="F687" i="39"/>
  <c r="H445" i="39"/>
  <c r="E706" i="39"/>
  <c r="C627" i="39"/>
  <c r="C242" i="39"/>
  <c r="O17" i="9"/>
  <c r="D770" i="39"/>
  <c r="C74" i="39"/>
  <c r="S19" i="9"/>
  <c r="D265" i="39"/>
  <c r="G45" i="39"/>
  <c r="F226" i="39"/>
  <c r="F703" i="39"/>
  <c r="C428" i="39"/>
  <c r="D80" i="39"/>
  <c r="C153" i="39"/>
  <c r="S11" i="9"/>
  <c r="H425" i="39"/>
  <c r="F406" i="39"/>
  <c r="E55" i="39"/>
  <c r="G660" i="39"/>
  <c r="G284" i="39"/>
  <c r="G615" i="39"/>
  <c r="I712" i="39"/>
  <c r="E815" i="39"/>
  <c r="G555" i="39"/>
  <c r="C528" i="39"/>
  <c r="I646" i="39"/>
  <c r="E871" i="39"/>
  <c r="H31" i="3"/>
  <c r="C48" i="39"/>
  <c r="C839" i="39"/>
  <c r="I301" i="39"/>
  <c r="F954" i="39"/>
  <c r="G147" i="39"/>
  <c r="I111" i="39"/>
  <c r="F732" i="39"/>
  <c r="H805" i="39"/>
  <c r="F609" i="39"/>
  <c r="H922" i="39"/>
  <c r="G469" i="39"/>
  <c r="H20" i="3"/>
  <c r="H388" i="39"/>
  <c r="C144" i="39"/>
  <c r="G287" i="39"/>
  <c r="F84" i="39"/>
  <c r="C410" i="39"/>
  <c r="F266" i="39"/>
  <c r="E668" i="39"/>
  <c r="I770" i="39"/>
  <c r="I239" i="39"/>
  <c r="Q41" i="9"/>
  <c r="G765" i="39"/>
  <c r="I26" i="39"/>
  <c r="H25" i="3"/>
  <c r="E170" i="39"/>
  <c r="D778" i="39"/>
  <c r="D922" i="39"/>
  <c r="E355" i="39"/>
  <c r="C589" i="39"/>
  <c r="I751" i="39"/>
  <c r="I736" i="39"/>
  <c r="S30" i="9"/>
  <c r="E626" i="39"/>
  <c r="E360" i="39"/>
  <c r="D591" i="39"/>
  <c r="D838" i="39"/>
  <c r="G543" i="39"/>
  <c r="F187" i="39"/>
  <c r="D759" i="39"/>
  <c r="E529" i="39"/>
  <c r="H75" i="39"/>
  <c r="E352" i="39"/>
  <c r="D92" i="39"/>
  <c r="F753" i="39"/>
  <c r="D246" i="39"/>
  <c r="C711" i="39"/>
  <c r="I846" i="39"/>
  <c r="C706" i="39"/>
  <c r="Q33" i="9"/>
  <c r="I8" i="7"/>
  <c r="C319" i="39"/>
  <c r="C915" i="39"/>
  <c r="I146" i="39"/>
  <c r="I850" i="39"/>
  <c r="R31" i="9"/>
  <c r="C617" i="39"/>
  <c r="H224" i="39"/>
  <c r="G207" i="39"/>
  <c r="F736" i="39"/>
  <c r="D103" i="39"/>
  <c r="C629" i="39"/>
  <c r="F875" i="39"/>
  <c r="E104" i="39"/>
  <c r="E145" i="39"/>
  <c r="C862" i="39"/>
  <c r="C367" i="39"/>
  <c r="D365" i="39"/>
  <c r="F21" i="39"/>
  <c r="E1000" i="39"/>
  <c r="F12" i="39"/>
  <c r="I982" i="39"/>
  <c r="G875" i="39"/>
  <c r="F658" i="39"/>
  <c r="H899" i="39"/>
  <c r="D282" i="39"/>
  <c r="Q29" i="9"/>
  <c r="G936" i="39"/>
  <c r="D130" i="39"/>
  <c r="G158" i="39"/>
  <c r="H800" i="39"/>
  <c r="F545" i="39"/>
  <c r="G942" i="39"/>
  <c r="C993" i="39"/>
  <c r="F702" i="39"/>
  <c r="C914" i="39"/>
  <c r="H94" i="39"/>
  <c r="H1015" i="39"/>
  <c r="I50" i="39"/>
  <c r="E802" i="39"/>
  <c r="F916" i="39"/>
  <c r="I130" i="39"/>
  <c r="I349" i="39"/>
  <c r="I886" i="39"/>
  <c r="E605" i="39"/>
  <c r="C453" i="39"/>
  <c r="I255" i="39"/>
  <c r="D826" i="39"/>
  <c r="G767" i="39"/>
  <c r="G447" i="39"/>
  <c r="D672" i="39"/>
  <c r="D509" i="39"/>
  <c r="D438" i="39"/>
  <c r="I746" i="39"/>
  <c r="H259" i="39"/>
  <c r="C930" i="39"/>
  <c r="H912" i="39"/>
  <c r="C328" i="39"/>
  <c r="H263" i="39"/>
  <c r="F1009" i="39"/>
  <c r="K22" i="7"/>
  <c r="E598" i="39"/>
  <c r="G972" i="39"/>
  <c r="I794" i="39"/>
  <c r="I218" i="39"/>
  <c r="H422" i="39"/>
  <c r="D560" i="39"/>
  <c r="C636" i="39"/>
  <c r="H516" i="39"/>
  <c r="D724" i="39"/>
  <c r="S20" i="9"/>
  <c r="C753" i="39"/>
  <c r="H178" i="39"/>
  <c r="F791" i="39"/>
  <c r="H374" i="39"/>
  <c r="G517" i="39"/>
  <c r="I306" i="39"/>
  <c r="I527" i="39"/>
  <c r="H191" i="39"/>
  <c r="F106" i="39"/>
  <c r="I452" i="39"/>
  <c r="H377" i="39"/>
  <c r="E985" i="39"/>
  <c r="I96" i="39"/>
  <c r="D666" i="39"/>
  <c r="E813" i="39"/>
  <c r="H204" i="39"/>
  <c r="I716" i="39"/>
  <c r="D841" i="39"/>
  <c r="H874" i="39"/>
  <c r="E259" i="39"/>
  <c r="F28" i="39"/>
  <c r="C757" i="39"/>
  <c r="E256" i="39"/>
  <c r="C892" i="39"/>
  <c r="H131" i="39"/>
  <c r="R42" i="9"/>
  <c r="D650" i="39"/>
  <c r="I785" i="39"/>
  <c r="E573" i="39"/>
  <c r="F229" i="39"/>
  <c r="F575" i="39"/>
  <c r="E194" i="39"/>
  <c r="C502" i="39"/>
  <c r="F73" i="39"/>
  <c r="C73" i="39"/>
  <c r="H172" i="39"/>
  <c r="D262" i="39"/>
  <c r="G911" i="39"/>
  <c r="D415" i="39"/>
  <c r="I577" i="39"/>
  <c r="H338" i="39"/>
  <c r="F827" i="39"/>
  <c r="E663" i="39"/>
  <c r="G572" i="39"/>
  <c r="G990" i="39"/>
  <c r="Q42" i="9"/>
  <c r="G130" i="39"/>
  <c r="D432" i="39"/>
  <c r="H21" i="3"/>
  <c r="D482" i="39"/>
  <c r="F83" i="39"/>
  <c r="D977" i="39"/>
  <c r="I608" i="39"/>
  <c r="I58" i="39"/>
  <c r="I689" i="39"/>
  <c r="F925" i="39"/>
  <c r="G481" i="39"/>
  <c r="I888" i="39"/>
  <c r="P14" i="9"/>
  <c r="T42" i="9"/>
  <c r="G330" i="39"/>
  <c r="H258" i="39"/>
  <c r="H499" i="39"/>
  <c r="E220" i="39"/>
  <c r="G180" i="39"/>
  <c r="F573" i="39"/>
  <c r="H856" i="39"/>
  <c r="C446" i="39"/>
  <c r="G222" i="39"/>
  <c r="C622" i="39"/>
  <c r="F640" i="39"/>
  <c r="C176" i="39"/>
  <c r="C378" i="39"/>
  <c r="C271" i="39"/>
  <c r="C141" i="39"/>
  <c r="C454" i="39"/>
  <c r="F323" i="39"/>
  <c r="C52" i="39"/>
  <c r="F565" i="39"/>
  <c r="F449" i="39"/>
  <c r="I144" i="39"/>
  <c r="I842" i="39"/>
  <c r="F880" i="39"/>
  <c r="D850" i="39"/>
  <c r="I417" i="39"/>
  <c r="C321" i="39"/>
  <c r="F833" i="39"/>
  <c r="E703" i="39"/>
  <c r="G278" i="39"/>
  <c r="C480" i="39"/>
  <c r="G785" i="39"/>
  <c r="E982" i="39"/>
  <c r="H810" i="39"/>
  <c r="E799" i="39"/>
  <c r="D61" i="39"/>
  <c r="G918" i="39"/>
  <c r="C429" i="39"/>
  <c r="C879" i="39"/>
  <c r="P31" i="9"/>
  <c r="G176" i="39"/>
  <c r="D499" i="39"/>
  <c r="H886" i="39"/>
  <c r="E1023" i="39"/>
  <c r="H84" i="39"/>
  <c r="D561" i="39"/>
  <c r="I122" i="39"/>
  <c r="H56" i="39"/>
  <c r="I565" i="39"/>
  <c r="H96" i="39"/>
  <c r="G214" i="39"/>
  <c r="D689" i="39"/>
  <c r="F616" i="39"/>
  <c r="F349" i="39"/>
  <c r="G945" i="39"/>
  <c r="E642" i="39"/>
  <c r="D950" i="39"/>
  <c r="F618" i="39"/>
  <c r="D474" i="39"/>
  <c r="H98" i="39"/>
  <c r="H7" i="3"/>
  <c r="T26" i="9"/>
  <c r="D775" i="39"/>
  <c r="E23" i="39"/>
  <c r="I372" i="39"/>
  <c r="D545" i="39"/>
  <c r="E965" i="39"/>
  <c r="I695" i="39"/>
  <c r="D349" i="39"/>
  <c r="G820" i="39"/>
  <c r="G511" i="39"/>
  <c r="C59" i="39"/>
  <c r="E796" i="39"/>
  <c r="C702" i="39"/>
  <c r="H1016" i="39"/>
  <c r="F614" i="39"/>
  <c r="E543" i="39"/>
  <c r="O13" i="9"/>
  <c r="D7" i="39"/>
  <c r="I479" i="39"/>
  <c r="C697" i="39"/>
  <c r="C523" i="39"/>
  <c r="G54" i="39"/>
  <c r="E67" i="39"/>
  <c r="I902" i="39"/>
  <c r="C23" i="39"/>
  <c r="G382" i="39"/>
  <c r="H582" i="39"/>
  <c r="C44" i="39"/>
  <c r="H833" i="39"/>
  <c r="H955" i="39"/>
  <c r="F410" i="39"/>
  <c r="C484" i="39"/>
  <c r="G279" i="39"/>
  <c r="E914" i="39"/>
  <c r="D290" i="39"/>
  <c r="D871" i="39"/>
  <c r="H759" i="39"/>
  <c r="H15" i="3"/>
  <c r="I674" i="39"/>
  <c r="H557" i="39"/>
  <c r="G775" i="39"/>
  <c r="E245" i="39"/>
  <c r="E325" i="39"/>
  <c r="H579" i="39"/>
  <c r="G833" i="39"/>
  <c r="E835" i="39"/>
  <c r="H1014" i="39"/>
  <c r="D244" i="39"/>
  <c r="G373" i="39"/>
  <c r="F989" i="39"/>
  <c r="E44" i="39"/>
  <c r="H458" i="39"/>
  <c r="E1024" i="39"/>
  <c r="E215" i="39"/>
  <c r="D606" i="39"/>
  <c r="C68" i="39"/>
  <c r="H248" i="39"/>
  <c r="I784" i="39"/>
  <c r="G732" i="39"/>
  <c r="G21" i="7"/>
  <c r="D901" i="39"/>
  <c r="C70" i="39"/>
  <c r="S31" i="9"/>
  <c r="G277" i="39"/>
  <c r="F301" i="39"/>
  <c r="F921" i="39"/>
  <c r="F264" i="39"/>
  <c r="E630" i="39"/>
  <c r="E821" i="39"/>
  <c r="I214" i="39"/>
  <c r="I682" i="39"/>
  <c r="F370" i="39"/>
  <c r="G909" i="39"/>
  <c r="C172" i="39"/>
  <c r="H364" i="39"/>
  <c r="H512" i="39"/>
  <c r="I23" i="7"/>
  <c r="G964" i="39"/>
  <c r="T34" i="9"/>
  <c r="F634" i="39"/>
  <c r="I901" i="39"/>
  <c r="C606" i="39"/>
  <c r="I990" i="39"/>
  <c r="C280" i="39"/>
  <c r="G624" i="39"/>
  <c r="I903" i="39"/>
  <c r="C375" i="39"/>
  <c r="C180" i="39"/>
  <c r="G487" i="39"/>
  <c r="H777" i="39"/>
  <c r="C853" i="39"/>
  <c r="F97" i="39"/>
  <c r="F721" i="39"/>
  <c r="I606" i="39"/>
  <c r="G233" i="39"/>
  <c r="H1002" i="39"/>
  <c r="I104" i="39"/>
  <c r="F298" i="39"/>
  <c r="G501" i="39"/>
  <c r="H614" i="39"/>
  <c r="C882" i="39"/>
  <c r="F679" i="39"/>
  <c r="H640" i="39"/>
  <c r="C937" i="39"/>
  <c r="I1018" i="39"/>
  <c r="D648" i="39"/>
  <c r="I804" i="39"/>
  <c r="C299" i="39"/>
  <c r="G616" i="39"/>
  <c r="I305" i="39"/>
  <c r="I882" i="39"/>
  <c r="F447" i="39"/>
  <c r="F238" i="39"/>
  <c r="H858" i="39"/>
  <c r="I612" i="39"/>
  <c r="F779" i="39"/>
  <c r="D359" i="39"/>
  <c r="E576" i="39"/>
  <c r="C202" i="39"/>
  <c r="C211" i="39"/>
  <c r="H869" i="39"/>
  <c r="G387" i="39"/>
  <c r="H532" i="39"/>
  <c r="C815" i="39"/>
  <c r="E760" i="39"/>
  <c r="F201" i="39"/>
  <c r="C199" i="39"/>
  <c r="H636" i="39"/>
  <c r="I320" i="39"/>
  <c r="D971" i="39"/>
  <c r="G681" i="39"/>
  <c r="I762" i="39"/>
  <c r="E163" i="39"/>
  <c r="E768" i="39"/>
  <c r="I461" i="39"/>
  <c r="I447" i="39"/>
  <c r="I9" i="39"/>
  <c r="I16" i="39"/>
  <c r="G173" i="39"/>
  <c r="H692" i="39"/>
  <c r="I142" i="39"/>
  <c r="F419" i="39"/>
  <c r="H541" i="39"/>
  <c r="C684" i="39"/>
  <c r="D718" i="39"/>
  <c r="C75" i="39"/>
  <c r="D466" i="39"/>
  <c r="E172" i="39"/>
  <c r="H651" i="39"/>
  <c r="C913" i="39"/>
  <c r="I983" i="39"/>
  <c r="D891" i="39"/>
  <c r="E652" i="39"/>
  <c r="C750" i="39"/>
  <c r="D835" i="39"/>
  <c r="G782" i="39"/>
  <c r="C662" i="39"/>
  <c r="G952" i="39"/>
  <c r="H808" i="39"/>
  <c r="F308" i="39"/>
  <c r="I623" i="39"/>
  <c r="I355" i="39"/>
  <c r="H202" i="39"/>
  <c r="H880" i="39"/>
  <c r="G992" i="39"/>
  <c r="E249" i="39"/>
  <c r="E276" i="39"/>
  <c r="D185" i="39"/>
  <c r="D1010" i="39"/>
  <c r="D2" i="39"/>
  <c r="G756" i="39"/>
  <c r="G862" i="39"/>
  <c r="I329" i="39"/>
  <c r="I263" i="39"/>
  <c r="D210" i="39"/>
  <c r="G41" i="39"/>
  <c r="E986" i="39"/>
  <c r="D909" i="39"/>
  <c r="F55" i="39"/>
  <c r="I242" i="39"/>
  <c r="D927" i="39"/>
  <c r="H121" i="39"/>
  <c r="F758" i="39"/>
  <c r="C326" i="39"/>
  <c r="D338" i="39"/>
  <c r="I388" i="39"/>
  <c r="I586" i="39"/>
  <c r="H510" i="39"/>
  <c r="O33" i="9"/>
  <c r="G8" i="7"/>
  <c r="H59" i="39"/>
  <c r="F648" i="39"/>
  <c r="C33" i="39"/>
  <c r="F177" i="39"/>
  <c r="E890" i="39"/>
  <c r="F814" i="39"/>
  <c r="H150" i="39"/>
  <c r="D609" i="39"/>
  <c r="F947" i="39"/>
  <c r="G252" i="39"/>
  <c r="E764" i="39"/>
  <c r="E634" i="39"/>
  <c r="G86" i="39"/>
  <c r="H844" i="39"/>
  <c r="F314" i="39"/>
  <c r="F352" i="39"/>
  <c r="G777" i="39"/>
  <c r="C266" i="39"/>
  <c r="H653" i="39"/>
  <c r="H585" i="39"/>
  <c r="I766" i="39"/>
  <c r="H455" i="39"/>
  <c r="H10" i="39"/>
  <c r="F838" i="39"/>
  <c r="E278" i="39"/>
  <c r="C81" i="39"/>
  <c r="H320" i="39"/>
  <c r="C515" i="39"/>
  <c r="H30" i="3"/>
  <c r="C643" i="39"/>
  <c r="G723" i="39"/>
  <c r="C247" i="39"/>
  <c r="I653" i="39"/>
  <c r="G567" i="39"/>
  <c r="E331" i="39"/>
  <c r="G533" i="39"/>
  <c r="G903" i="39"/>
  <c r="F1017" i="39"/>
  <c r="H936" i="39"/>
  <c r="C820" i="39"/>
  <c r="S39" i="9"/>
  <c r="E221" i="39"/>
  <c r="C112" i="39"/>
  <c r="H831" i="39"/>
  <c r="I956" i="39"/>
  <c r="F816" i="39"/>
  <c r="I184" i="39"/>
  <c r="I701" i="39"/>
  <c r="D201" i="39"/>
  <c r="C514" i="39"/>
  <c r="G978" i="39"/>
  <c r="G560" i="39"/>
  <c r="C69" i="39"/>
  <c r="F236" i="39"/>
  <c r="E873" i="39"/>
  <c r="G557" i="39"/>
  <c r="I724" i="39"/>
  <c r="D722" i="39"/>
  <c r="D616" i="39"/>
  <c r="E100" i="39"/>
  <c r="G236" i="39"/>
  <c r="D980" i="39"/>
  <c r="I713" i="39"/>
  <c r="G797" i="39"/>
  <c r="H637" i="39"/>
  <c r="F418" i="39"/>
  <c r="E532" i="39"/>
  <c r="F554" i="39"/>
  <c r="C436" i="39"/>
  <c r="H378" i="39"/>
  <c r="I914" i="39"/>
  <c r="G186" i="39"/>
  <c r="D158" i="39"/>
  <c r="G194" i="39"/>
  <c r="I373" i="39"/>
  <c r="C481" i="39"/>
  <c r="F341" i="39"/>
  <c r="F29" i="39"/>
  <c r="H80" i="39"/>
  <c r="G784" i="39"/>
  <c r="I298" i="39"/>
  <c r="C290" i="39"/>
  <c r="E624" i="39"/>
  <c r="E789" i="39"/>
  <c r="G401" i="39"/>
  <c r="H28" i="39"/>
  <c r="H81" i="39"/>
  <c r="H87" i="39"/>
  <c r="D892" i="39"/>
  <c r="E367" i="39"/>
  <c r="E990" i="39"/>
  <c r="H6" i="6"/>
  <c r="H10" i="8" s="1"/>
  <c r="H220" i="39"/>
  <c r="D332" i="39"/>
  <c r="S13" i="9"/>
  <c r="I941" i="39"/>
  <c r="F457" i="39"/>
  <c r="E248" i="39"/>
  <c r="G358" i="39"/>
  <c r="G956" i="39"/>
  <c r="D26" i="39"/>
  <c r="D35" i="39"/>
  <c r="E485" i="39"/>
  <c r="G93" i="39"/>
  <c r="C99" i="39"/>
  <c r="F399" i="39"/>
  <c r="E85" i="39"/>
  <c r="G470" i="39"/>
  <c r="I297" i="39"/>
  <c r="E855" i="39"/>
  <c r="C687" i="39"/>
  <c r="I760" i="39"/>
  <c r="G674" i="39"/>
  <c r="F957" i="39"/>
  <c r="F601" i="39"/>
  <c r="H789" i="39"/>
  <c r="F230" i="39"/>
  <c r="D749" i="39"/>
  <c r="F274" i="39"/>
  <c r="G68" i="39"/>
  <c r="C621" i="39"/>
  <c r="C649" i="39"/>
  <c r="F765" i="39"/>
  <c r="D952" i="39"/>
  <c r="E406" i="39"/>
  <c r="F1013" i="39"/>
  <c r="G552" i="39"/>
  <c r="E1022" i="39"/>
  <c r="F184" i="39"/>
  <c r="D428" i="39"/>
  <c r="G327" i="39"/>
  <c r="C583" i="39"/>
  <c r="H352" i="39"/>
  <c r="E272" i="39"/>
  <c r="F714" i="39"/>
  <c r="C802" i="39"/>
  <c r="P19" i="9"/>
  <c r="F673" i="39"/>
  <c r="G559" i="39"/>
  <c r="G664" i="39"/>
  <c r="E96" i="39"/>
  <c r="H715" i="39"/>
  <c r="F913" i="39"/>
  <c r="D632" i="39"/>
  <c r="C720" i="39"/>
  <c r="I745" i="39"/>
  <c r="G48" i="39"/>
  <c r="D562" i="39"/>
  <c r="H756" i="39"/>
  <c r="I94" i="39"/>
  <c r="I779" i="39"/>
  <c r="I859" i="39"/>
  <c r="G263" i="39"/>
  <c r="E502" i="39"/>
  <c r="G644" i="39"/>
  <c r="I189" i="39"/>
  <c r="C539" i="39"/>
  <c r="F754" i="39"/>
  <c r="F287" i="39"/>
  <c r="H629" i="39"/>
  <c r="I364" i="39"/>
  <c r="C425" i="39"/>
  <c r="F477" i="39"/>
  <c r="H554" i="39"/>
  <c r="G718" i="39"/>
  <c r="G632" i="39"/>
  <c r="G471" i="39"/>
  <c r="C379" i="39"/>
  <c r="H145" i="39"/>
  <c r="F494" i="39"/>
  <c r="H129" i="39"/>
  <c r="C950" i="39"/>
  <c r="G266" i="39"/>
  <c r="G772" i="39"/>
  <c r="D379" i="39"/>
  <c r="D339" i="39"/>
  <c r="C944" i="39"/>
  <c r="D382" i="39"/>
  <c r="F544" i="39"/>
  <c r="G946" i="39"/>
  <c r="C957" i="39"/>
  <c r="E169" i="39"/>
  <c r="D94" i="39"/>
  <c r="H735" i="39"/>
  <c r="G986" i="39"/>
  <c r="D612" i="39"/>
  <c r="F859" i="39"/>
  <c r="H285" i="39"/>
  <c r="I386" i="39"/>
  <c r="I534" i="39"/>
  <c r="I454" i="39"/>
  <c r="E892" i="39"/>
  <c r="G402" i="39"/>
  <c r="G296" i="39"/>
  <c r="G745" i="39"/>
  <c r="G245" i="39"/>
  <c r="H733" i="39"/>
  <c r="I790" i="39"/>
  <c r="E335" i="39"/>
  <c r="H13" i="39"/>
  <c r="D118" i="39"/>
  <c r="E238" i="39"/>
  <c r="E994" i="39"/>
  <c r="D125" i="39"/>
  <c r="C619" i="39"/>
  <c r="H621" i="39"/>
  <c r="G981" i="39"/>
  <c r="C294" i="39"/>
  <c r="D654" i="39"/>
  <c r="I858" i="39"/>
  <c r="I145" i="39"/>
  <c r="H424" i="39"/>
  <c r="C107" i="39"/>
  <c r="G604" i="39"/>
  <c r="H817" i="39"/>
  <c r="C482" i="39"/>
  <c r="C782" i="39"/>
  <c r="I428" i="39"/>
  <c r="D985" i="39"/>
  <c r="D172" i="39"/>
  <c r="F345" i="39"/>
  <c r="I690" i="39"/>
  <c r="G379" i="39"/>
  <c r="E165" i="39"/>
  <c r="H820" i="39"/>
  <c r="H452" i="39"/>
  <c r="I393" i="39"/>
  <c r="D259" i="39"/>
  <c r="C628" i="39"/>
  <c r="H908" i="39"/>
  <c r="E659" i="39"/>
  <c r="F874" i="39"/>
  <c r="C714" i="39"/>
  <c r="D558" i="39"/>
  <c r="P16" i="9"/>
  <c r="F163" i="39"/>
  <c r="E503" i="39"/>
  <c r="E47" i="39"/>
  <c r="C259" i="39"/>
  <c r="G803" i="39"/>
  <c r="E123" i="39"/>
  <c r="F928" i="39"/>
  <c r="E98" i="39"/>
  <c r="F541" i="39"/>
  <c r="C888" i="39"/>
  <c r="G150" i="39"/>
  <c r="E618" i="39"/>
  <c r="C685" i="39"/>
  <c r="I691" i="39"/>
  <c r="D954" i="39"/>
  <c r="E354" i="39"/>
  <c r="G639" i="39"/>
  <c r="G354" i="39"/>
  <c r="E260" i="39"/>
  <c r="E759" i="39"/>
  <c r="G844" i="39"/>
  <c r="C509" i="39"/>
  <c r="D528" i="39"/>
  <c r="C863" i="39"/>
  <c r="G268" i="39"/>
  <c r="O31" i="9"/>
  <c r="I576" i="39"/>
  <c r="I835" i="39"/>
  <c r="E552" i="39"/>
  <c r="P9" i="9"/>
  <c r="E148" i="39"/>
  <c r="E152" i="39"/>
  <c r="H403" i="39"/>
  <c r="D920" i="39"/>
  <c r="F672" i="39"/>
  <c r="C499" i="39"/>
  <c r="O11" i="9"/>
  <c r="G399" i="39"/>
  <c r="H159" i="39"/>
  <c r="E987" i="39"/>
  <c r="H125" i="39"/>
  <c r="C591" i="39"/>
  <c r="H745" i="39"/>
  <c r="C21" i="39"/>
  <c r="E826" i="39"/>
  <c r="G898" i="39"/>
  <c r="G932" i="39"/>
  <c r="D1017" i="39"/>
  <c r="F367" i="39"/>
  <c r="H631" i="39"/>
  <c r="E519" i="39"/>
  <c r="E904" i="39"/>
  <c r="C804" i="39"/>
  <c r="G786" i="39"/>
  <c r="D728" i="39"/>
  <c r="D636" i="39"/>
  <c r="C877" i="39"/>
  <c r="D655" i="39"/>
  <c r="D972" i="39"/>
  <c r="G883" i="39"/>
  <c r="F866" i="39"/>
  <c r="C656" i="39"/>
  <c r="H802" i="39"/>
  <c r="E1001" i="39"/>
  <c r="D278" i="39"/>
  <c r="H354" i="39"/>
  <c r="C611" i="39"/>
  <c r="E662" i="39"/>
  <c r="G229" i="39"/>
  <c r="I459" i="39"/>
  <c r="D629" i="39"/>
  <c r="E439" i="39"/>
  <c r="E844" i="39"/>
  <c r="I143" i="39"/>
  <c r="I725" i="39"/>
  <c r="E227" i="39"/>
  <c r="D741" i="39"/>
  <c r="F268" i="39"/>
  <c r="E174" i="39"/>
  <c r="I556" i="39"/>
  <c r="C253" i="39"/>
  <c r="F460" i="39"/>
  <c r="I834" i="39"/>
  <c r="E68" i="39"/>
  <c r="C860" i="39"/>
  <c r="D957" i="39"/>
  <c r="E868" i="39"/>
  <c r="F75" i="39"/>
  <c r="G19" i="39"/>
  <c r="I434" i="39"/>
  <c r="I946" i="39"/>
  <c r="G561" i="39"/>
  <c r="H372" i="39"/>
  <c r="I907" i="39"/>
  <c r="H357" i="39"/>
  <c r="F185" i="39"/>
  <c r="C331" i="39"/>
  <c r="H1022" i="39"/>
  <c r="G620" i="39"/>
  <c r="Q38" i="9"/>
  <c r="I9" i="7"/>
  <c r="E250" i="39"/>
  <c r="E403" i="39"/>
  <c r="G491" i="39"/>
  <c r="H317" i="39"/>
  <c r="H346" i="39"/>
  <c r="P21" i="9"/>
  <c r="T15" i="9"/>
  <c r="I668" i="39"/>
  <c r="C836" i="39"/>
  <c r="I758" i="39"/>
  <c r="D148" i="39"/>
  <c r="C992" i="39"/>
  <c r="I438" i="39"/>
  <c r="H333" i="39"/>
  <c r="C192" i="39"/>
  <c r="I775" i="39"/>
  <c r="H257" i="39"/>
  <c r="Q9" i="9"/>
  <c r="G7" i="7"/>
  <c r="O28" i="9"/>
  <c r="I258" i="39"/>
  <c r="H282" i="39"/>
  <c r="I343" i="39"/>
  <c r="F507" i="39"/>
  <c r="C342" i="39"/>
  <c r="F4" i="39"/>
  <c r="H911" i="39"/>
  <c r="D100" i="39"/>
  <c r="C678" i="39"/>
  <c r="F763" i="39"/>
  <c r="D1011" i="39"/>
  <c r="I940" i="39"/>
  <c r="E141" i="39"/>
  <c r="F700" i="39"/>
  <c r="H740" i="39"/>
  <c r="G213" i="39"/>
  <c r="G26" i="39"/>
  <c r="H793" i="39"/>
  <c r="E899" i="39"/>
  <c r="C555" i="39"/>
  <c r="D961" i="39"/>
  <c r="D272" i="39"/>
  <c r="E711" i="39"/>
  <c r="C493" i="39"/>
  <c r="C771" i="39"/>
  <c r="E510" i="39"/>
  <c r="I677" i="39"/>
  <c r="E505" i="39"/>
  <c r="C651" i="39"/>
  <c r="C829" i="39"/>
  <c r="C642" i="39"/>
  <c r="G955" i="39"/>
  <c r="H242" i="39"/>
  <c r="E192" i="39"/>
  <c r="H418" i="39"/>
  <c r="G724" i="39"/>
  <c r="E527" i="39"/>
  <c r="E365" i="39"/>
  <c r="C341" i="39"/>
  <c r="F623" i="39"/>
  <c r="F676" i="39"/>
  <c r="I323" i="39"/>
  <c r="C239" i="39"/>
  <c r="H50" i="39"/>
  <c r="E941" i="39"/>
  <c r="G764" i="39"/>
  <c r="I1012" i="39"/>
  <c r="D880" i="39"/>
  <c r="G716" i="39"/>
  <c r="H474" i="39"/>
  <c r="E553" i="39"/>
  <c r="H758" i="39"/>
  <c r="F434" i="39"/>
  <c r="H726" i="39"/>
  <c r="I456" i="39"/>
  <c r="G779" i="39"/>
  <c r="I651" i="39"/>
  <c r="E353" i="39"/>
  <c r="H625" i="39"/>
  <c r="E340" i="39"/>
  <c r="H296" i="39"/>
  <c r="H780" i="39"/>
  <c r="F253" i="39"/>
  <c r="E644" i="39"/>
  <c r="C648" i="39"/>
  <c r="F557" i="39"/>
  <c r="C800" i="39"/>
  <c r="C922" i="39"/>
  <c r="G407" i="39"/>
  <c r="P34" i="9"/>
  <c r="E236" i="39"/>
  <c r="E856" i="39"/>
  <c r="H115" i="39"/>
  <c r="E455" i="39"/>
  <c r="C971" i="39"/>
  <c r="I433" i="39"/>
  <c r="Q16" i="9"/>
  <c r="G258" i="39"/>
  <c r="H617" i="39"/>
  <c r="E765" i="39"/>
  <c r="G171" i="39"/>
  <c r="I705" i="39"/>
  <c r="H919" i="39"/>
  <c r="G538" i="39"/>
  <c r="D735" i="39"/>
  <c r="C30" i="39"/>
  <c r="T35" i="9"/>
  <c r="H944" i="39"/>
  <c r="C255" i="39"/>
  <c r="F975" i="39"/>
  <c r="E127" i="39"/>
  <c r="D222" i="39"/>
  <c r="F330" i="39"/>
  <c r="C134" i="39"/>
  <c r="F710" i="39"/>
  <c r="I257" i="39"/>
  <c r="C592" i="39"/>
  <c r="I446" i="39"/>
  <c r="H176" i="39"/>
  <c r="F810" i="39"/>
  <c r="H171" i="39"/>
  <c r="I302" i="39"/>
  <c r="E863" i="39"/>
  <c r="C554" i="39"/>
  <c r="D524" i="39"/>
  <c r="D879" i="39"/>
  <c r="F411" i="39"/>
  <c r="H835" i="39"/>
  <c r="F806" i="39"/>
  <c r="G735" i="39"/>
  <c r="E473" i="39"/>
  <c r="E419" i="39"/>
  <c r="G697" i="39"/>
  <c r="H592" i="39"/>
  <c r="D22" i="39"/>
  <c r="C223" i="39"/>
  <c r="C444" i="39"/>
  <c r="E400" i="39"/>
  <c r="D721" i="39"/>
  <c r="F88" i="39"/>
  <c r="E579" i="39"/>
  <c r="D933" i="39"/>
  <c r="H734" i="39"/>
  <c r="I238" i="39"/>
  <c r="H222" i="39"/>
  <c r="E513" i="39"/>
  <c r="I350" i="39"/>
  <c r="I771" i="39"/>
  <c r="E798" i="39"/>
  <c r="H266" i="39"/>
  <c r="H451" i="39"/>
  <c r="F284" i="39"/>
  <c r="G393" i="39"/>
  <c r="D471" i="39"/>
  <c r="H567" i="39"/>
  <c r="E196" i="39"/>
  <c r="E198" i="39"/>
  <c r="I826" i="39"/>
  <c r="D825" i="39"/>
  <c r="I244" i="39"/>
  <c r="C949" i="39"/>
  <c r="G570" i="39"/>
  <c r="E733" i="39"/>
  <c r="I629" i="39"/>
  <c r="C156" i="39"/>
  <c r="Q40" i="9"/>
  <c r="C982" i="39"/>
  <c r="H494" i="39"/>
  <c r="C393" i="39"/>
  <c r="D116" i="39"/>
  <c r="I10" i="39"/>
  <c r="I543" i="39"/>
  <c r="D48" i="39"/>
  <c r="I457" i="39"/>
  <c r="H696" i="39"/>
  <c r="H643" i="39"/>
  <c r="F862" i="39"/>
  <c r="C51" i="39"/>
  <c r="G720" i="39"/>
  <c r="G790" i="39"/>
  <c r="I892" i="39"/>
  <c r="C188" i="39"/>
  <c r="C741" i="39"/>
  <c r="E547" i="39"/>
  <c r="H491" i="39"/>
  <c r="E814" i="39"/>
  <c r="C837" i="39"/>
  <c r="F807" i="39"/>
  <c r="V50" i="9"/>
  <c r="H959" i="39"/>
  <c r="C844" i="39"/>
  <c r="C491" i="39"/>
  <c r="K23" i="7"/>
  <c r="H439" i="39"/>
  <c r="I70" i="39"/>
  <c r="G684" i="39"/>
  <c r="D333" i="39"/>
  <c r="H347" i="39"/>
  <c r="G209" i="39"/>
  <c r="D445" i="39"/>
  <c r="F798" i="39"/>
  <c r="I22" i="7"/>
  <c r="T12" i="9"/>
  <c r="D442" i="39"/>
  <c r="H957" i="39"/>
  <c r="C431" i="39"/>
  <c r="H932" i="39"/>
  <c r="F891" i="39"/>
  <c r="I737" i="39"/>
  <c r="E173" i="39"/>
  <c r="C333" i="39"/>
  <c r="D173" i="39"/>
  <c r="C273" i="39"/>
  <c r="E103" i="39"/>
  <c r="E616" i="39"/>
  <c r="F291" i="39"/>
  <c r="G342" i="39"/>
  <c r="F393" i="39"/>
  <c r="I441" i="39"/>
  <c r="I773" i="39"/>
  <c r="E865" i="39"/>
  <c r="I789" i="39"/>
  <c r="E80" i="39"/>
  <c r="P40" i="9"/>
  <c r="I815" i="39"/>
  <c r="D821" i="39"/>
  <c r="C1005" i="39"/>
  <c r="G253" i="39"/>
  <c r="D963" i="39"/>
  <c r="E694" i="39"/>
  <c r="G496" i="39"/>
  <c r="I825" i="39"/>
  <c r="G915" i="39"/>
  <c r="F289" i="39"/>
  <c r="C663" i="39"/>
  <c r="G914" i="39"/>
  <c r="I588" i="39"/>
  <c r="D878" i="39"/>
  <c r="I129" i="39"/>
  <c r="F960" i="39"/>
  <c r="D254" i="39"/>
  <c r="I84" i="39"/>
  <c r="G271" i="39"/>
  <c r="G482" i="39"/>
  <c r="H41" i="39"/>
  <c r="E535" i="39"/>
  <c r="C931" i="39"/>
  <c r="I3" i="39"/>
  <c r="F938" i="39"/>
  <c r="I609" i="39"/>
  <c r="D98" i="39"/>
  <c r="G1000" i="39"/>
  <c r="G254" i="39"/>
  <c r="P35" i="9"/>
  <c r="I660" i="39"/>
  <c r="D543" i="39"/>
  <c r="H650" i="39"/>
  <c r="D647" i="39"/>
  <c r="P11" i="9"/>
  <c r="C948" i="39"/>
  <c r="E448" i="39"/>
  <c r="C598" i="39"/>
  <c r="C445" i="39"/>
  <c r="D603" i="39"/>
  <c r="Q34" i="9"/>
  <c r="F922" i="39"/>
  <c r="H742" i="39"/>
  <c r="E24" i="39"/>
  <c r="C550" i="39"/>
  <c r="D823" i="39"/>
  <c r="G198" i="39"/>
  <c r="I841" i="39"/>
  <c r="D412" i="39"/>
  <c r="F762" i="39"/>
  <c r="F363" i="39"/>
  <c r="G701" i="39"/>
  <c r="F940" i="39"/>
  <c r="H205" i="39"/>
  <c r="H707" i="39"/>
  <c r="D577" i="39"/>
  <c r="I774" i="39"/>
  <c r="C721" i="39"/>
  <c r="D180" i="39"/>
  <c r="H90" i="39"/>
  <c r="H432" i="39"/>
  <c r="I61" i="39"/>
  <c r="E867" i="39"/>
  <c r="C582" i="39"/>
  <c r="G441" i="39"/>
  <c r="I506" i="39"/>
  <c r="H660" i="39"/>
  <c r="D230" i="39"/>
  <c r="C577" i="39"/>
  <c r="H752" i="39"/>
  <c r="E191" i="39"/>
  <c r="F547" i="39"/>
  <c r="D947" i="39"/>
  <c r="I165" i="39"/>
  <c r="I345" i="39"/>
  <c r="I923" i="39"/>
  <c r="F478" i="39"/>
  <c r="D110" i="39"/>
  <c r="G310" i="39"/>
  <c r="E1004" i="39"/>
  <c r="C215" i="39"/>
  <c r="D976" i="39"/>
  <c r="F1004" i="39"/>
  <c r="E617" i="39"/>
  <c r="I120" i="39"/>
  <c r="T31" i="9"/>
  <c r="F505" i="39"/>
  <c r="H509" i="39"/>
  <c r="I274" i="39"/>
  <c r="G297" i="39"/>
  <c r="F776" i="39"/>
  <c r="I642" i="39"/>
  <c r="G445" i="39"/>
  <c r="H476" i="39"/>
  <c r="H4" i="39"/>
  <c r="E960" i="39"/>
  <c r="I341" i="39"/>
  <c r="H538" i="39"/>
  <c r="D839" i="39"/>
  <c r="D996" i="39"/>
  <c r="H923" i="39"/>
  <c r="D782" i="39"/>
  <c r="H669" i="39"/>
  <c r="F815" i="39"/>
  <c r="H998" i="39"/>
  <c r="D956" i="39"/>
  <c r="C312" i="39"/>
  <c r="D809" i="39"/>
  <c r="H767" i="39"/>
  <c r="D205" i="39"/>
  <c r="F49" i="39"/>
  <c r="C179" i="39"/>
  <c r="E489" i="39"/>
  <c r="C751" i="39"/>
  <c r="F221" i="39"/>
  <c r="H571" i="39"/>
  <c r="F113" i="39"/>
  <c r="C727" i="39"/>
  <c r="H863" i="39"/>
  <c r="I535" i="39"/>
  <c r="F632" i="39"/>
  <c r="H34" i="39"/>
  <c r="E657" i="39"/>
  <c r="E202" i="39"/>
  <c r="G274" i="39"/>
  <c r="C777" i="39"/>
  <c r="G450" i="39"/>
  <c r="H659" i="39"/>
  <c r="E613" i="39"/>
  <c r="O39" i="9"/>
  <c r="C814" i="39"/>
  <c r="I299" i="39"/>
  <c r="F43" i="39"/>
  <c r="I243" i="39"/>
  <c r="F360" i="39"/>
  <c r="G996" i="39"/>
  <c r="D507" i="39"/>
  <c r="E866" i="39"/>
  <c r="G902" i="39"/>
  <c r="C977" i="39"/>
  <c r="H529" i="39"/>
  <c r="F780" i="39"/>
  <c r="I973" i="39"/>
  <c r="E671" i="39"/>
  <c r="F59" i="39"/>
  <c r="H217" i="39"/>
  <c r="G59" i="39"/>
  <c r="G799" i="39"/>
  <c r="H270" i="39"/>
  <c r="G655" i="39"/>
  <c r="C183" i="39"/>
  <c r="H421" i="39"/>
  <c r="S26" i="9"/>
  <c r="H6" i="8" s="1"/>
  <c r="S49" i="9"/>
  <c r="S29" i="9"/>
  <c r="D490" i="39"/>
  <c r="F135" i="39"/>
  <c r="G36" i="39"/>
  <c r="E337" i="39"/>
  <c r="H383" i="39"/>
  <c r="I141" i="39"/>
  <c r="H234" i="39"/>
  <c r="H216" i="39"/>
  <c r="D483" i="39"/>
  <c r="F125" i="39"/>
  <c r="H437" i="39"/>
  <c r="G548" i="39"/>
  <c r="F200" i="39"/>
  <c r="E397" i="39"/>
  <c r="D928" i="39"/>
  <c r="C677" i="39"/>
  <c r="F881" i="39"/>
  <c r="I291" i="39"/>
  <c r="D512" i="39"/>
  <c r="I948" i="39"/>
  <c r="C679" i="39"/>
  <c r="H572" i="39"/>
  <c r="D341" i="39"/>
  <c r="C953" i="39"/>
  <c r="E452" i="39"/>
  <c r="F440" i="39"/>
  <c r="H877" i="39"/>
  <c r="I89" i="39"/>
  <c r="F6" i="39"/>
  <c r="G262" i="39"/>
  <c r="G816" i="39"/>
  <c r="G891" i="39"/>
  <c r="R23" i="9"/>
  <c r="E828" i="39"/>
  <c r="I730" i="39"/>
  <c r="C483" i="39"/>
  <c r="G795" i="39"/>
  <c r="F302" i="39"/>
  <c r="I346" i="39"/>
  <c r="I326" i="39"/>
  <c r="D915" i="39"/>
  <c r="H267" i="39"/>
  <c r="D1023" i="39"/>
  <c r="I420" i="39"/>
  <c r="C989" i="39"/>
  <c r="D983" i="39"/>
  <c r="O41" i="9"/>
  <c r="E907" i="39"/>
  <c r="G151" i="39"/>
  <c r="E147" i="39"/>
  <c r="G640" i="39"/>
  <c r="E750" i="39"/>
  <c r="E732" i="39"/>
  <c r="I148" i="39"/>
  <c r="H52" i="39"/>
  <c r="G637" i="39"/>
  <c r="D727" i="39"/>
  <c r="F630" i="39"/>
  <c r="H708" i="39"/>
  <c r="D788" i="39"/>
  <c r="C102" i="39"/>
  <c r="D361" i="39"/>
  <c r="C281" i="39"/>
  <c r="C682" i="39"/>
  <c r="F591" i="39"/>
  <c r="F248" i="39"/>
  <c r="G232" i="39"/>
  <c r="H620" i="39"/>
  <c r="E812" i="39"/>
  <c r="C670" i="39"/>
  <c r="C517" i="39"/>
  <c r="C286" i="39"/>
  <c r="G768" i="39"/>
  <c r="E422" i="39"/>
  <c r="H35" i="39"/>
  <c r="F68" i="39"/>
  <c r="F890" i="39"/>
  <c r="C90" i="39"/>
  <c r="I861" i="39"/>
  <c r="E300" i="39"/>
  <c r="D875" i="39"/>
  <c r="D400" i="39"/>
  <c r="G30" i="39"/>
  <c r="D8" i="39"/>
  <c r="I816" i="39"/>
  <c r="R39" i="9"/>
  <c r="D786" i="39"/>
  <c r="F978" i="39"/>
  <c r="R49" i="9"/>
  <c r="R26" i="9"/>
  <c r="G6" i="8" s="1"/>
  <c r="I997" i="39"/>
  <c r="D862" i="39"/>
  <c r="F136" i="39"/>
  <c r="H386" i="39"/>
  <c r="H399" i="39"/>
  <c r="F1019" i="39"/>
  <c r="E880" i="39"/>
  <c r="E124" i="39"/>
  <c r="C891" i="39"/>
  <c r="D929" i="39"/>
  <c r="I895" i="39"/>
  <c r="C252" i="39"/>
  <c r="C474" i="39"/>
  <c r="C364" i="39"/>
  <c r="C781" i="39"/>
  <c r="I21" i="39"/>
  <c r="C870" i="39"/>
  <c r="I791" i="39"/>
  <c r="H107" i="39"/>
  <c r="E7" i="39"/>
  <c r="E310" i="39"/>
  <c r="H943" i="39"/>
  <c r="E919" i="39"/>
  <c r="F847" i="39"/>
  <c r="D557" i="39"/>
  <c r="D855" i="39"/>
  <c r="C459" i="39"/>
  <c r="F569" i="39"/>
  <c r="F777" i="39"/>
  <c r="G763" i="39"/>
  <c r="C845" i="39"/>
  <c r="H796" i="39"/>
  <c r="F235" i="39"/>
  <c r="D969" i="39"/>
  <c r="F520" i="39"/>
  <c r="D376" i="39"/>
  <c r="G1011" i="39"/>
  <c r="F120" i="39"/>
  <c r="F654" i="39"/>
  <c r="C874" i="39"/>
  <c r="E916" i="39"/>
  <c r="H520" i="39"/>
  <c r="G535" i="39"/>
  <c r="C230" i="39"/>
  <c r="G460" i="39"/>
  <c r="C173" i="39"/>
  <c r="D867" i="39"/>
  <c r="F730" i="39"/>
  <c r="H300" i="39"/>
  <c r="G746" i="39"/>
  <c r="H598" i="39"/>
  <c r="F98" i="39"/>
  <c r="E567" i="39"/>
  <c r="E478" i="39"/>
  <c r="C941" i="39"/>
  <c r="F526" i="39"/>
  <c r="E132" i="39"/>
  <c r="I392" i="39"/>
  <c r="H697" i="39"/>
  <c r="G520" i="39"/>
  <c r="C634" i="39"/>
  <c r="I195" i="39"/>
  <c r="C403" i="39"/>
  <c r="E247" i="39"/>
  <c r="F22" i="39"/>
  <c r="C120" i="39"/>
  <c r="E906" i="39"/>
  <c r="D815" i="39"/>
  <c r="E9" i="39"/>
  <c r="G197" i="39"/>
  <c r="F307" i="39"/>
  <c r="F293" i="39"/>
  <c r="G1014" i="39"/>
  <c r="H732" i="39"/>
  <c r="C824" i="39"/>
  <c r="J9" i="7"/>
  <c r="R38" i="9"/>
  <c r="H720" i="39"/>
  <c r="E495" i="39"/>
  <c r="G586" i="39"/>
  <c r="D764" i="39"/>
  <c r="D806" i="39"/>
  <c r="E488" i="39"/>
  <c r="H928" i="39"/>
  <c r="D800" i="39"/>
  <c r="D330" i="39"/>
  <c r="I206" i="39"/>
  <c r="D217" i="39"/>
  <c r="E88" i="39"/>
  <c r="G879" i="39"/>
  <c r="H492" i="39"/>
  <c r="D644" i="39"/>
  <c r="G856" i="39"/>
  <c r="F500" i="39"/>
  <c r="C291" i="39"/>
  <c r="C712" i="39"/>
  <c r="G448" i="39"/>
  <c r="D858" i="39"/>
  <c r="E10" i="39"/>
  <c r="D802" i="39"/>
  <c r="E738" i="39"/>
  <c r="E650" i="39"/>
  <c r="E390" i="39"/>
  <c r="I136" i="39"/>
  <c r="G419" i="39"/>
  <c r="I135" i="39"/>
  <c r="D818" i="39"/>
  <c r="H970" i="39"/>
  <c r="F343" i="39"/>
  <c r="C747" i="39"/>
  <c r="E974" i="39"/>
  <c r="D792" i="39"/>
  <c r="E648" i="39"/>
  <c r="C569" i="39"/>
  <c r="I715" i="39"/>
  <c r="H180" i="39"/>
  <c r="I837" i="39"/>
  <c r="I127" i="39"/>
  <c r="H268" i="39"/>
  <c r="H324" i="39"/>
  <c r="F759" i="39"/>
  <c r="C274" i="39"/>
  <c r="G916" i="39"/>
  <c r="F992" i="39"/>
  <c r="H1005" i="39"/>
  <c r="F824" i="39"/>
  <c r="D1012" i="39"/>
  <c r="E795" i="39"/>
  <c r="H16" i="39"/>
  <c r="Q48" i="9"/>
  <c r="G960" i="39"/>
  <c r="P30" i="9"/>
  <c r="E655" i="39"/>
  <c r="D791" i="39"/>
  <c r="D693" i="39"/>
  <c r="F865" i="39"/>
  <c r="H884" i="39"/>
  <c r="C210" i="39"/>
  <c r="D729" i="39"/>
  <c r="H711" i="39"/>
  <c r="G1007" i="39"/>
  <c r="F755" i="39"/>
  <c r="H218" i="39"/>
  <c r="G113" i="39"/>
  <c r="C37" i="39"/>
  <c r="C964" i="39"/>
  <c r="E1005" i="39"/>
  <c r="F691" i="39"/>
  <c r="F206" i="39"/>
  <c r="H327" i="39"/>
  <c r="E339" i="39"/>
  <c r="O40" i="9"/>
  <c r="H264" i="39"/>
  <c r="E234" i="39"/>
  <c r="H42" i="39"/>
  <c r="G480" i="39"/>
  <c r="D587" i="39"/>
  <c r="H791" i="39"/>
  <c r="D170" i="39"/>
  <c r="H36" i="39"/>
  <c r="I509" i="39"/>
  <c r="I353" i="39"/>
  <c r="G305" i="39"/>
  <c r="D553" i="39"/>
  <c r="G394" i="39"/>
  <c r="H695" i="39"/>
  <c r="H443" i="39"/>
  <c r="I406" i="39"/>
  <c r="C796" i="39"/>
  <c r="F909" i="39"/>
  <c r="C940" i="39"/>
  <c r="C149" i="39"/>
  <c r="I521" i="39"/>
  <c r="F143" i="39"/>
  <c r="E48" i="39"/>
  <c r="G427" i="39"/>
  <c r="D622" i="39"/>
  <c r="E295" i="39"/>
  <c r="G860" i="39"/>
  <c r="D1000" i="39"/>
  <c r="E909" i="39"/>
  <c r="D877" i="39"/>
  <c r="F564" i="39"/>
  <c r="C833" i="39"/>
  <c r="G920" i="39"/>
  <c r="I357" i="39"/>
  <c r="G568" i="39"/>
  <c r="G408" i="39"/>
  <c r="G118" i="39"/>
  <c r="F385" i="39"/>
  <c r="E304" i="39"/>
  <c r="C161" i="39"/>
  <c r="E638" i="39"/>
  <c r="G221" i="39"/>
  <c r="F112" i="39"/>
  <c r="H61" i="39"/>
  <c r="D677" i="39"/>
  <c r="H535" i="39"/>
  <c r="F540" i="39"/>
  <c r="H647" i="39"/>
  <c r="H864" i="39"/>
  <c r="C350" i="39"/>
  <c r="E27" i="39"/>
  <c r="I692" i="39"/>
  <c r="E267" i="39"/>
  <c r="H132" i="39"/>
  <c r="H946" i="39"/>
  <c r="C114" i="39"/>
  <c r="F802" i="39"/>
  <c r="E684" i="39"/>
  <c r="F521" i="39"/>
  <c r="G344" i="39"/>
  <c r="I382" i="39"/>
  <c r="F589" i="39"/>
  <c r="H328" i="39"/>
  <c r="E593" i="39"/>
  <c r="E14" i="39"/>
  <c r="H682" i="39"/>
  <c r="C251" i="39"/>
  <c r="C387" i="39"/>
  <c r="C503" i="39"/>
  <c r="G695" i="39"/>
  <c r="D1018" i="39"/>
  <c r="F823" i="39"/>
  <c r="F420" i="39"/>
  <c r="H488" i="39"/>
  <c r="H806" i="39"/>
  <c r="G592" i="39"/>
  <c r="F516" i="39"/>
  <c r="F852" i="39"/>
  <c r="G927" i="39"/>
  <c r="P8" i="9"/>
  <c r="H156" i="39"/>
  <c r="F972" i="39"/>
  <c r="H623" i="39"/>
  <c r="E500" i="39"/>
  <c r="F873" i="39"/>
  <c r="H778" i="39"/>
  <c r="C473" i="39"/>
  <c r="G433" i="39"/>
  <c r="F24" i="39"/>
  <c r="G761" i="39"/>
  <c r="G44" i="39"/>
  <c r="D17" i="39"/>
  <c r="I139" i="39"/>
  <c r="E320" i="39"/>
  <c r="H362" i="39"/>
  <c r="C738" i="39"/>
  <c r="C132" i="39"/>
  <c r="I493" i="39"/>
  <c r="E817" i="39"/>
  <c r="C288" i="39"/>
  <c r="D191" i="39"/>
  <c r="C47" i="39"/>
  <c r="F572" i="39"/>
  <c r="C691" i="39"/>
  <c r="C258" i="39"/>
  <c r="I687" i="39"/>
  <c r="D982" i="39"/>
  <c r="C791" i="39"/>
  <c r="E681" i="39"/>
  <c r="C208" i="39"/>
  <c r="D550" i="39"/>
  <c r="C962" i="39"/>
  <c r="I862" i="39"/>
  <c r="E468" i="39"/>
  <c r="I738" i="39"/>
  <c r="C756" i="39"/>
  <c r="G115" i="39"/>
  <c r="E19" i="39"/>
  <c r="F832" i="39"/>
  <c r="C581" i="39"/>
  <c r="G370" i="39"/>
  <c r="E182" i="39"/>
  <c r="C66" i="39"/>
  <c r="C494" i="39"/>
  <c r="I380" i="39"/>
  <c r="H855" i="39"/>
  <c r="H407" i="39"/>
  <c r="G96" i="39"/>
  <c r="E314" i="39"/>
  <c r="G308" i="39"/>
  <c r="T29" i="9"/>
  <c r="G476" i="39"/>
  <c r="H64" i="39"/>
  <c r="H130" i="39"/>
  <c r="D72" i="39"/>
  <c r="G625" i="39"/>
  <c r="I342" i="39"/>
  <c r="D164" i="39"/>
  <c r="H556" i="39"/>
  <c r="I518" i="39"/>
  <c r="E274" i="39"/>
  <c r="D236" i="39"/>
  <c r="C88" i="39"/>
  <c r="C460" i="39"/>
  <c r="E653" i="39"/>
  <c r="G540" i="39"/>
  <c r="C404" i="39"/>
  <c r="F1005" i="39"/>
  <c r="D477" i="39"/>
  <c r="D734" i="39"/>
  <c r="H744" i="39"/>
  <c r="H235" i="39"/>
  <c r="R36" i="9"/>
  <c r="G95" i="39"/>
  <c r="E36" i="39"/>
  <c r="F480" i="39"/>
  <c r="F250" i="39"/>
  <c r="G913" i="39"/>
  <c r="C465" i="39"/>
  <c r="H373" i="39"/>
  <c r="C557" i="39"/>
  <c r="D288" i="39"/>
  <c r="G102" i="39"/>
  <c r="H60" i="39"/>
  <c r="E950" i="39"/>
  <c r="G383" i="39"/>
  <c r="E433" i="39"/>
  <c r="C990" i="39"/>
  <c r="D943" i="39"/>
  <c r="H122" i="39"/>
  <c r="G486" i="39"/>
  <c r="H436" i="39"/>
  <c r="C681" i="39"/>
  <c r="G75" i="39"/>
  <c r="F945" i="39"/>
  <c r="R41" i="9"/>
  <c r="C355" i="39"/>
  <c r="E135" i="39"/>
  <c r="H595" i="39"/>
  <c r="O16" i="9"/>
  <c r="F797" i="39"/>
  <c r="I202" i="39"/>
  <c r="D420" i="39"/>
  <c r="H1018" i="39"/>
  <c r="H545" i="39"/>
  <c r="I880" i="39"/>
  <c r="C184" i="39"/>
  <c r="H584" i="39"/>
  <c r="C787" i="39"/>
  <c r="I448" i="39"/>
  <c r="D439" i="39"/>
  <c r="H675" i="39"/>
  <c r="H271" i="39"/>
  <c r="F737" i="39"/>
  <c r="H213" i="39"/>
  <c r="C566" i="39"/>
  <c r="E157" i="39"/>
  <c r="H577" i="39"/>
  <c r="G507" i="39"/>
  <c r="I17" i="6"/>
  <c r="D994" i="39"/>
  <c r="G196" i="39"/>
  <c r="F109" i="39"/>
  <c r="F127" i="39"/>
  <c r="I215" i="39"/>
  <c r="F374" i="39"/>
  <c r="D890" i="39"/>
  <c r="G17" i="39"/>
  <c r="C886" i="39"/>
  <c r="D380" i="39"/>
  <c r="E97" i="39"/>
  <c r="I76" i="39"/>
  <c r="D309" i="39"/>
  <c r="D925" i="39"/>
  <c r="H233" i="39"/>
  <c r="G467" i="39"/>
  <c r="I891" i="39"/>
  <c r="G513" i="39"/>
  <c r="H135" i="39"/>
  <c r="R20" i="9"/>
  <c r="I800" i="39"/>
  <c r="F137" i="39"/>
  <c r="I945" i="39"/>
  <c r="H731" i="39"/>
  <c r="G5" i="39"/>
  <c r="F750" i="39"/>
  <c r="I654" i="39"/>
  <c r="C77" i="39"/>
  <c r="F104" i="39"/>
  <c r="D232" i="39"/>
  <c r="G626" i="39"/>
  <c r="G276" i="39"/>
  <c r="D378" i="39"/>
  <c r="D563" i="39"/>
  <c r="H382" i="39"/>
  <c r="H801" i="39"/>
  <c r="G125" i="39"/>
  <c r="F781" i="39"/>
  <c r="E213" i="39"/>
  <c r="G322" i="39"/>
  <c r="D594" i="39"/>
  <c r="D719" i="39"/>
  <c r="D393" i="39"/>
  <c r="G528" i="39"/>
  <c r="C339" i="39"/>
  <c r="D156" i="39"/>
  <c r="E693" i="39"/>
  <c r="H473" i="39"/>
  <c r="I913" i="39"/>
  <c r="I857" i="39"/>
  <c r="I678" i="39"/>
  <c r="G622" i="39"/>
  <c r="I62" i="39"/>
  <c r="E417" i="39"/>
  <c r="E351" i="39"/>
  <c r="Q19" i="9"/>
  <c r="I385" i="39"/>
  <c r="F638" i="39"/>
  <c r="E621" i="39"/>
  <c r="D56" i="39"/>
  <c r="E92" i="39"/>
  <c r="C521" i="39"/>
  <c r="D765" i="39"/>
  <c r="D443" i="39"/>
  <c r="E1007" i="39"/>
  <c r="G545" i="39"/>
  <c r="F580" i="39"/>
  <c r="G873" i="39"/>
  <c r="F146" i="39"/>
  <c r="D239" i="39"/>
  <c r="E305" i="39"/>
  <c r="C488" i="39"/>
  <c r="D243" i="39"/>
  <c r="H101" i="39"/>
  <c r="I152" i="39"/>
  <c r="I993" i="39"/>
  <c r="C951" i="39"/>
  <c r="H485" i="39"/>
  <c r="D120" i="39"/>
  <c r="E785" i="39"/>
  <c r="D448" i="39"/>
  <c r="G490" i="39"/>
  <c r="D540" i="39"/>
  <c r="I7" i="6"/>
  <c r="D6" i="6"/>
  <c r="D10" i="8" s="1"/>
  <c r="D66" i="39"/>
  <c r="G259" i="39"/>
  <c r="C673" i="39"/>
  <c r="G544" i="39"/>
  <c r="I803" i="39"/>
  <c r="C790" i="39"/>
  <c r="C722" i="39"/>
  <c r="F99" i="39"/>
  <c r="H415" i="39"/>
  <c r="E596" i="39"/>
  <c r="G111" i="39"/>
  <c r="C298" i="39"/>
  <c r="E75" i="39"/>
  <c r="F66" i="39"/>
  <c r="F89" i="39"/>
  <c r="E878" i="39"/>
  <c r="C808" i="39"/>
  <c r="E959" i="39"/>
  <c r="E108" i="39"/>
  <c r="I390" i="39"/>
  <c r="D869" i="39"/>
  <c r="E43" i="39"/>
  <c r="F417" i="39"/>
  <c r="C93" i="39"/>
  <c r="H686" i="39"/>
  <c r="G998" i="39"/>
  <c r="C240" i="39"/>
  <c r="C854" i="39"/>
  <c r="E797" i="39"/>
  <c r="I180" i="39"/>
  <c r="C548" i="39"/>
  <c r="E951" i="39"/>
  <c r="E35" i="39"/>
  <c r="F180" i="39"/>
  <c r="E283" i="39"/>
  <c r="H79" i="39"/>
  <c r="F783" i="39"/>
  <c r="E539" i="39"/>
  <c r="D225" i="39"/>
  <c r="F379" i="39"/>
  <c r="C165" i="39"/>
  <c r="C945" i="39"/>
  <c r="G919" i="39"/>
  <c r="C732" i="39"/>
  <c r="C228" i="39"/>
  <c r="C222" i="39"/>
  <c r="D436" i="39"/>
  <c r="F473" i="39"/>
  <c r="G110" i="39"/>
  <c r="E154" i="39"/>
  <c r="F153" i="39"/>
  <c r="C203" i="39"/>
  <c r="H112" i="39"/>
  <c r="D641" i="39"/>
  <c r="F412" i="39"/>
  <c r="F785" i="39"/>
  <c r="I581" i="39"/>
  <c r="D335" i="39"/>
  <c r="G16" i="39"/>
  <c r="H475" i="39"/>
  <c r="K7" i="7"/>
  <c r="S28" i="9"/>
  <c r="D762" i="39"/>
  <c r="E554" i="39"/>
  <c r="C595" i="39"/>
  <c r="C512" i="39"/>
  <c r="I157" i="39"/>
  <c r="T22" i="9"/>
  <c r="C486" i="39"/>
  <c r="I436" i="39"/>
  <c r="G991" i="39"/>
  <c r="F67" i="39"/>
  <c r="E918" i="39"/>
  <c r="F355" i="39"/>
  <c r="H38" i="39"/>
  <c r="I411" i="39"/>
  <c r="H423" i="39"/>
  <c r="D270" i="39"/>
  <c r="H114" i="39"/>
  <c r="D279" i="39"/>
  <c r="G899" i="39"/>
  <c r="C797" i="39"/>
  <c r="F851" i="39"/>
  <c r="D280" i="39"/>
  <c r="D804" i="39"/>
  <c r="I233" i="39"/>
  <c r="I688" i="39"/>
  <c r="E386" i="39"/>
  <c r="I309" i="39"/>
  <c r="E820" i="39"/>
  <c r="E729" i="39"/>
  <c r="C296" i="39"/>
  <c r="H672" i="39"/>
  <c r="C955" i="39"/>
  <c r="I981" i="39"/>
  <c r="G51" i="39"/>
  <c r="E441" i="39"/>
  <c r="H45" i="39"/>
  <c r="G900" i="39"/>
  <c r="C167" i="39"/>
  <c r="G178" i="39"/>
  <c r="D327" i="39"/>
  <c r="J7" i="7"/>
  <c r="R28" i="9"/>
  <c r="F381" i="39"/>
  <c r="C1017" i="39"/>
  <c r="G689" i="39"/>
  <c r="F680" i="39"/>
  <c r="F999" i="39"/>
  <c r="H565" i="39"/>
  <c r="E639" i="39"/>
  <c r="G215" i="39"/>
  <c r="H668" i="39"/>
  <c r="D991" i="39"/>
  <c r="H1009" i="39"/>
  <c r="I686" i="39"/>
  <c r="C543" i="39"/>
  <c r="C119" i="39"/>
  <c r="G871" i="39"/>
  <c r="F944" i="39"/>
  <c r="H370" i="39"/>
  <c r="F846" i="39"/>
  <c r="I476" i="39"/>
  <c r="P22" i="9"/>
  <c r="F468" i="39"/>
  <c r="I727" i="39"/>
  <c r="H781" i="39"/>
  <c r="G770" i="39"/>
  <c r="F760" i="39"/>
  <c r="F144" i="39"/>
  <c r="F108" i="39"/>
  <c r="C407" i="39"/>
  <c r="I830" i="39"/>
  <c r="F735" i="39"/>
  <c r="F932" i="39"/>
  <c r="C501" i="39"/>
  <c r="D274" i="39"/>
  <c r="F382" i="39"/>
  <c r="F848" i="39"/>
  <c r="E415" i="39"/>
  <c r="C513" i="39"/>
  <c r="F896" i="39"/>
  <c r="I717" i="39"/>
  <c r="F965" i="39"/>
  <c r="Q14" i="9"/>
  <c r="G73" i="39"/>
  <c r="H751" i="39"/>
  <c r="I694" i="39"/>
  <c r="E996" i="39"/>
  <c r="C775" i="39"/>
  <c r="D68" i="39"/>
  <c r="G865" i="39"/>
  <c r="I987" i="39"/>
  <c r="C108" i="39"/>
  <c r="C475" i="39"/>
  <c r="D169" i="39"/>
  <c r="F340" i="39"/>
  <c r="G583" i="39"/>
  <c r="H19" i="3"/>
  <c r="I133" i="39"/>
  <c r="F860" i="39"/>
  <c r="F217" i="39"/>
  <c r="E980" i="39"/>
  <c r="F436" i="39"/>
  <c r="F955" i="39"/>
  <c r="D184" i="39"/>
  <c r="H638" i="39"/>
  <c r="I696" i="39"/>
  <c r="E425" i="39"/>
  <c r="E118" i="39"/>
  <c r="E966" i="39"/>
  <c r="C236" i="39"/>
  <c r="I699" i="39"/>
  <c r="E562" i="39"/>
  <c r="E438" i="39"/>
  <c r="H626" i="39"/>
  <c r="I460" i="39"/>
  <c r="E526" i="39"/>
  <c r="H360" i="39"/>
  <c r="D256" i="39"/>
  <c r="D311" i="39"/>
  <c r="F386" i="39"/>
  <c r="C762" i="39"/>
  <c r="F74" i="39"/>
  <c r="G337" i="39"/>
  <c r="C654" i="39"/>
  <c r="D220" i="39"/>
  <c r="H699" i="39"/>
  <c r="E392" i="39"/>
  <c r="F18" i="39"/>
  <c r="G673" i="39"/>
  <c r="H828" i="39"/>
  <c r="D675" i="39"/>
  <c r="C138" i="39"/>
  <c r="D574" i="39"/>
  <c r="D78" i="39"/>
  <c r="T19" i="9"/>
  <c r="H924" i="39"/>
  <c r="E518" i="39"/>
  <c r="D1016" i="39"/>
  <c r="I950" i="39"/>
  <c r="F748" i="39"/>
  <c r="G432" i="39"/>
  <c r="H104" i="39"/>
  <c r="F868" i="39"/>
  <c r="F161" i="39"/>
  <c r="H993" i="39"/>
  <c r="C56" i="39"/>
  <c r="E261" i="39"/>
  <c r="F1011" i="39"/>
  <c r="G267" i="39"/>
  <c r="C382" i="39"/>
  <c r="H390" i="39"/>
  <c r="I222" i="39"/>
  <c r="F312" i="39"/>
  <c r="I240" i="39"/>
  <c r="E60" i="39"/>
  <c r="F178" i="39"/>
  <c r="H166" i="39"/>
  <c r="D685" i="39"/>
  <c r="E228" i="39"/>
  <c r="C174" i="39"/>
  <c r="E560" i="39"/>
  <c r="H211" i="39"/>
  <c r="F631" i="39"/>
  <c r="G164" i="39"/>
  <c r="C704" i="39"/>
  <c r="D463" i="39"/>
  <c r="G199" i="39"/>
  <c r="I74" i="39"/>
  <c r="F26" i="39"/>
  <c r="E962" i="39"/>
  <c r="I884" i="39"/>
  <c r="I583" i="39"/>
  <c r="I970" i="39"/>
  <c r="E1002" i="39"/>
  <c r="G729" i="39"/>
  <c r="C142" i="39"/>
  <c r="E20" i="39"/>
  <c r="F471" i="39"/>
  <c r="E860" i="39"/>
  <c r="D418" i="39"/>
  <c r="F888" i="39"/>
  <c r="E263" i="39"/>
  <c r="I207" i="39"/>
  <c r="D253" i="39"/>
  <c r="C318" i="39"/>
  <c r="E164" i="39"/>
  <c r="I649" i="39"/>
  <c r="F775" i="39"/>
  <c r="F997" i="39"/>
  <c r="I673" i="39"/>
  <c r="D54" i="39"/>
  <c r="H298" i="39"/>
  <c r="F159" i="39"/>
  <c r="O10" i="9"/>
  <c r="H987" i="39"/>
  <c r="I624" i="39"/>
  <c r="E72" i="39"/>
  <c r="D572" i="39"/>
  <c r="D486" i="39"/>
  <c r="E411" i="39"/>
  <c r="H48" i="39"/>
  <c r="F746" i="39"/>
  <c r="I110" i="39"/>
  <c r="D472" i="39"/>
  <c r="E190" i="39"/>
  <c r="C527" i="39"/>
  <c r="D247" i="39"/>
  <c r="G200" i="39"/>
  <c r="G751" i="39"/>
  <c r="H18" i="3"/>
  <c r="C283" i="39"/>
  <c r="D845" i="39"/>
  <c r="H199" i="39"/>
  <c r="D16" i="39"/>
  <c r="H975" i="39"/>
  <c r="E545" i="39"/>
  <c r="D363" i="39"/>
  <c r="H860" i="39"/>
  <c r="H369" i="39"/>
  <c r="I196" i="39"/>
  <c r="G527" i="39"/>
  <c r="D564" i="39"/>
  <c r="F400" i="39"/>
  <c r="H23" i="39"/>
  <c r="H596" i="39"/>
  <c r="D527" i="39"/>
  <c r="H776" i="39"/>
  <c r="D731" i="39"/>
  <c r="G160" i="39"/>
  <c r="D780" i="39"/>
  <c r="D548" i="39"/>
  <c r="I220" i="39"/>
  <c r="E232" i="39"/>
  <c r="E848" i="39"/>
  <c r="C418" i="39"/>
  <c r="F257" i="39"/>
  <c r="E271" i="39"/>
  <c r="G396" i="39"/>
  <c r="F342" i="39"/>
  <c r="H391" i="39"/>
  <c r="T20" i="9"/>
  <c r="G665" i="39"/>
  <c r="H384" i="39"/>
  <c r="D978" i="39"/>
  <c r="D136" i="39"/>
  <c r="F427" i="39"/>
  <c r="I930" i="39"/>
  <c r="E491" i="39"/>
  <c r="H934" i="39"/>
  <c r="C185" i="39"/>
  <c r="E781" i="39"/>
  <c r="F784" i="39"/>
  <c r="D213" i="39"/>
  <c r="F821" i="39"/>
  <c r="C929" i="39"/>
  <c r="C932" i="39"/>
  <c r="C510" i="39"/>
  <c r="H453" i="39"/>
  <c r="I356" i="39"/>
  <c r="F1023" i="39"/>
  <c r="I494" i="39"/>
  <c r="D469" i="39"/>
  <c r="D1014" i="39"/>
  <c r="I211" i="39"/>
  <c r="F602" i="39"/>
  <c r="D579" i="39"/>
  <c r="E790" i="39"/>
  <c r="G255" i="39"/>
  <c r="I832" i="39"/>
  <c r="I59" i="39"/>
  <c r="H109" i="39"/>
  <c r="I226" i="39"/>
  <c r="I855" i="39"/>
  <c r="D987" i="39"/>
  <c r="H22" i="3"/>
  <c r="G878" i="39"/>
  <c r="C624" i="39"/>
  <c r="C1003" i="39"/>
  <c r="C65" i="39"/>
  <c r="F621" i="39"/>
  <c r="I324" i="39"/>
  <c r="H935" i="39"/>
  <c r="F767" i="39"/>
  <c r="C360" i="39"/>
  <c r="I584" i="39"/>
  <c r="D690" i="39"/>
  <c r="I768" i="39"/>
  <c r="F42" i="39"/>
  <c r="C297" i="39"/>
  <c r="E522" i="39"/>
  <c r="D853" i="39"/>
  <c r="D305" i="39"/>
  <c r="I174" i="39"/>
  <c r="Q39" i="9"/>
  <c r="H861" i="39"/>
  <c r="F705" i="39"/>
  <c r="E688" i="39"/>
  <c r="G933" i="39"/>
  <c r="R17" i="9"/>
  <c r="H315" i="39"/>
  <c r="D322" i="39"/>
  <c r="H173" i="39"/>
  <c r="H262" i="39"/>
  <c r="H283" i="39"/>
  <c r="E923" i="39"/>
  <c r="G688" i="39"/>
  <c r="I656" i="39"/>
  <c r="E832" i="39"/>
  <c r="D355" i="39"/>
  <c r="C448" i="39"/>
  <c r="D141" i="39"/>
  <c r="G228" i="39"/>
  <c r="G152" i="39"/>
  <c r="I805" i="39"/>
  <c r="E716" i="39"/>
  <c r="H505" i="39"/>
  <c r="I36" i="39"/>
  <c r="E997" i="39"/>
  <c r="C45" i="39"/>
  <c r="G611" i="39"/>
  <c r="E620" i="39"/>
  <c r="E557" i="39"/>
  <c r="F304" i="39"/>
  <c r="H804" i="39"/>
  <c r="H186" i="39"/>
  <c r="C946" i="39"/>
  <c r="F103" i="39"/>
  <c r="H23" i="7"/>
  <c r="I183" i="39"/>
  <c r="H956" i="39"/>
  <c r="C884" i="39"/>
  <c r="C470" i="39"/>
  <c r="I652" i="39"/>
  <c r="D717" i="39"/>
  <c r="H818" i="39"/>
  <c r="C880" i="39"/>
  <c r="C57" i="39"/>
  <c r="I573" i="39"/>
  <c r="E541" i="39"/>
  <c r="H343" i="39"/>
  <c r="F95" i="39"/>
  <c r="E326" i="39"/>
  <c r="E292" i="39"/>
  <c r="F426" i="39"/>
  <c r="I511" i="39"/>
  <c r="G463" i="39"/>
  <c r="F889" i="39"/>
  <c r="E810" i="39"/>
  <c r="H988" i="39"/>
  <c r="E780" i="39"/>
  <c r="F694" i="39"/>
  <c r="H392" i="39"/>
  <c r="G997" i="39"/>
  <c r="D571" i="39"/>
  <c r="C578" i="39"/>
  <c r="E595" i="39"/>
  <c r="F822" i="39"/>
  <c r="F939" i="39"/>
  <c r="F16" i="39"/>
  <c r="F692" i="39"/>
  <c r="I445" i="39"/>
  <c r="F933" i="39"/>
  <c r="E240" i="39"/>
  <c r="H493" i="39"/>
  <c r="I529" i="39"/>
  <c r="D249" i="39"/>
  <c r="G124" i="39"/>
  <c r="F35" i="39"/>
  <c r="G796" i="39"/>
  <c r="C363" i="39"/>
  <c r="I569" i="39"/>
  <c r="F835" i="39"/>
  <c r="G966" i="39"/>
  <c r="C150" i="39"/>
  <c r="H925" i="39"/>
  <c r="C690" i="39"/>
  <c r="G612" i="39"/>
  <c r="E244" i="39"/>
  <c r="F644" i="39"/>
  <c r="D360" i="39"/>
  <c r="G962" i="39"/>
  <c r="I753" i="39"/>
  <c r="H942" i="39"/>
  <c r="H26" i="3"/>
  <c r="D188" i="39"/>
  <c r="C947" i="39"/>
  <c r="Q36" i="9"/>
  <c r="C786" i="39"/>
  <c r="H687" i="39"/>
  <c r="H815" i="39"/>
  <c r="F696" i="39"/>
  <c r="C838" i="39"/>
  <c r="H459" i="39"/>
  <c r="D25" i="39"/>
  <c r="D199" i="39"/>
  <c r="I44" i="39"/>
  <c r="D626" i="39"/>
  <c r="E231" i="39"/>
  <c r="E336" i="39"/>
  <c r="D908" i="39"/>
  <c r="H274" i="39"/>
  <c r="F405" i="39"/>
  <c r="F231" i="39"/>
  <c r="D695" i="39"/>
  <c r="E945" i="39"/>
  <c r="F966" i="39"/>
  <c r="C549" i="39"/>
  <c r="H528" i="39"/>
  <c r="H480" i="39"/>
  <c r="E226" i="39"/>
  <c r="E995" i="39"/>
  <c r="C449" i="39"/>
  <c r="C440" i="39"/>
  <c r="I813" i="39"/>
  <c r="F990" i="39"/>
  <c r="F277" i="39"/>
  <c r="D124" i="39"/>
  <c r="G132" i="39"/>
  <c r="I938" i="39"/>
  <c r="F561" i="39"/>
  <c r="R8" i="9"/>
  <c r="G728" i="39"/>
  <c r="D411" i="39"/>
  <c r="C72" i="39"/>
  <c r="C34" i="39"/>
  <c r="D536" i="39"/>
  <c r="D817" i="39"/>
  <c r="F892" i="39"/>
  <c r="H765" i="39"/>
  <c r="D894" i="39"/>
  <c r="D767" i="39"/>
  <c r="I241" i="39"/>
  <c r="H478" i="39"/>
  <c r="E977" i="39"/>
  <c r="F193" i="39"/>
  <c r="P38" i="9"/>
  <c r="H9" i="7"/>
  <c r="G558" i="39"/>
  <c r="E58" i="39"/>
  <c r="I338" i="39"/>
  <c r="H941" i="39"/>
  <c r="I22" i="39"/>
  <c r="I185" i="39"/>
  <c r="C524" i="39"/>
  <c r="H948" i="39"/>
  <c r="G89" i="39"/>
  <c r="D421" i="39"/>
  <c r="H1020" i="39"/>
  <c r="C1014" i="39"/>
  <c r="D523" i="39"/>
  <c r="F80" i="39"/>
  <c r="G184" i="39"/>
  <c r="G672" i="39"/>
  <c r="F474" i="39"/>
  <c r="H350" i="39"/>
  <c r="G27" i="39"/>
  <c r="I422" i="39"/>
  <c r="D989" i="39"/>
  <c r="G1012" i="39"/>
  <c r="H175" i="39"/>
  <c r="C881" i="39"/>
  <c r="D1002" i="39"/>
  <c r="E73" i="39"/>
  <c r="E186" i="39"/>
  <c r="C384" i="39"/>
  <c r="C472" i="39"/>
  <c r="C476" i="39"/>
  <c r="I927" i="39"/>
  <c r="I870" i="39"/>
  <c r="I259" i="39"/>
  <c r="D934" i="39"/>
  <c r="H763" i="39"/>
  <c r="E536" i="39"/>
  <c r="F255" i="39"/>
  <c r="G286" i="39"/>
  <c r="E110" i="39"/>
  <c r="D154" i="39"/>
  <c r="I508" i="39"/>
  <c r="I915" i="39"/>
  <c r="E544" i="39"/>
  <c r="I412" i="39"/>
  <c r="E697" i="39"/>
  <c r="E416" i="39"/>
  <c r="G663" i="39"/>
  <c r="E54" i="39"/>
  <c r="I896" i="39"/>
  <c r="C389" i="39"/>
  <c r="D888" i="39"/>
  <c r="F461" i="39"/>
  <c r="E289" i="39"/>
  <c r="D944" i="39"/>
  <c r="C563" i="39"/>
  <c r="G142" i="39"/>
  <c r="C311" i="39"/>
  <c r="E430" i="39"/>
  <c r="I772" i="39"/>
  <c r="F867" i="39"/>
  <c r="E129" i="39"/>
  <c r="E559" i="39"/>
  <c r="F325" i="39"/>
  <c r="I947" i="39"/>
  <c r="C793" i="39"/>
  <c r="I669" i="39"/>
  <c r="F182" i="39"/>
  <c r="D410" i="39"/>
  <c r="G736" i="39"/>
  <c r="I321" i="39"/>
  <c r="C402" i="39"/>
  <c r="R14" i="9"/>
  <c r="C768" i="39"/>
  <c r="F718" i="39"/>
  <c r="H667" i="39"/>
  <c r="F450" i="39"/>
  <c r="C794" i="39"/>
  <c r="H635" i="39"/>
  <c r="H151" i="39"/>
  <c r="E1003" i="39"/>
  <c r="C84" i="39"/>
  <c r="D151" i="39"/>
  <c r="C302" i="39"/>
  <c r="F488" i="39"/>
  <c r="C967" i="39"/>
  <c r="G846" i="39"/>
  <c r="I905" i="39"/>
  <c r="C1020" i="39"/>
  <c r="F413" i="39"/>
  <c r="G562" i="39"/>
  <c r="G440" i="39"/>
  <c r="I795" i="39"/>
  <c r="I162" i="39"/>
  <c r="H656" i="39"/>
  <c r="G694" i="39"/>
  <c r="H534" i="39"/>
  <c r="D111" i="39"/>
  <c r="E383" i="39"/>
  <c r="H901" i="39"/>
  <c r="G874" i="39"/>
  <c r="F950" i="39"/>
  <c r="C593" i="39"/>
  <c r="F309" i="39"/>
  <c r="I483" i="39"/>
  <c r="G234" i="39"/>
  <c r="D601" i="39"/>
  <c r="G503" i="39"/>
  <c r="E460" i="39"/>
  <c r="D914" i="39"/>
  <c r="C207" i="39"/>
  <c r="D937" i="39"/>
  <c r="P17" i="9"/>
  <c r="H564" i="39"/>
  <c r="F246" i="39"/>
  <c r="H917" i="39"/>
  <c r="E384" i="39"/>
  <c r="I268" i="39"/>
  <c r="G982" i="39"/>
  <c r="H299" i="39"/>
  <c r="C246" i="39"/>
  <c r="G139" i="39"/>
  <c r="G752" i="39"/>
  <c r="I591" i="39"/>
  <c r="G63" i="39"/>
  <c r="E530" i="39"/>
  <c r="C641" i="39"/>
  <c r="D46" i="39"/>
  <c r="E223" i="39"/>
  <c r="D462" i="39"/>
  <c r="D544" i="39"/>
  <c r="D889" i="39"/>
  <c r="D683" i="39"/>
  <c r="E528" i="39"/>
  <c r="I824" i="39"/>
  <c r="G836" i="39"/>
  <c r="C728" i="39"/>
  <c r="F519" i="39"/>
  <c r="D795" i="39"/>
  <c r="F458" i="39"/>
  <c r="D96" i="39"/>
  <c r="I894" i="39"/>
  <c r="I769" i="39"/>
  <c r="F72" i="39"/>
  <c r="G202" i="39"/>
  <c r="C792" i="39"/>
  <c r="G83" i="39"/>
  <c r="I853" i="39"/>
  <c r="F428" i="39"/>
  <c r="C564" i="39"/>
  <c r="G190" i="39"/>
  <c r="F733" i="39"/>
  <c r="H441" i="39"/>
  <c r="I272" i="39"/>
  <c r="G848" i="39"/>
  <c r="E375" i="39"/>
  <c r="C776" i="39"/>
  <c r="E66" i="39"/>
  <c r="H10" i="3"/>
  <c r="E981" i="39"/>
  <c r="C529" i="39"/>
  <c r="E858" i="39"/>
  <c r="G717" i="39"/>
  <c r="H525" i="39"/>
  <c r="D923" i="39"/>
  <c r="H116" i="39"/>
  <c r="H619" i="39"/>
  <c r="F448" i="39"/>
  <c r="G356" i="39"/>
  <c r="H289" i="39"/>
  <c r="H888" i="39"/>
  <c r="E239" i="39"/>
  <c r="I985" i="39"/>
  <c r="D924" i="39"/>
  <c r="D848" i="39"/>
  <c r="E171" i="39"/>
  <c r="G853" i="39"/>
  <c r="F316" i="39"/>
  <c r="E730" i="39"/>
  <c r="F313" i="39"/>
  <c r="F422" i="39"/>
  <c r="E973" i="39"/>
  <c r="D552" i="39"/>
  <c r="E131" i="39"/>
  <c r="D460" i="39"/>
  <c r="D665" i="39"/>
  <c r="E803" i="39"/>
  <c r="D224" i="39"/>
  <c r="F216" i="39"/>
  <c r="I820" i="39"/>
  <c r="G526" i="39"/>
  <c r="F725" i="39"/>
  <c r="C865" i="39"/>
  <c r="I66" i="39"/>
  <c r="D681" i="39"/>
  <c r="R29" i="9"/>
  <c r="D887" i="39"/>
  <c r="H576" i="39"/>
  <c r="F535" i="39"/>
  <c r="E707" i="39"/>
  <c r="C746" i="39"/>
  <c r="I348" i="39"/>
  <c r="G256" i="39"/>
  <c r="D607" i="39"/>
  <c r="H688" i="39"/>
  <c r="E235" i="39"/>
  <c r="H206" i="39"/>
  <c r="J22" i="7"/>
  <c r="E175" i="39"/>
  <c r="C919" i="39"/>
  <c r="H706" i="39"/>
  <c r="I1017" i="39"/>
  <c r="D589" i="39"/>
  <c r="E570" i="39"/>
  <c r="E822" i="39"/>
  <c r="C282" i="39"/>
  <c r="D276" i="39"/>
  <c r="G696" i="39"/>
  <c r="G546" i="39"/>
  <c r="I252" i="39"/>
  <c r="C50" i="39"/>
  <c r="E583" i="39"/>
  <c r="I734" i="39"/>
  <c r="G636" i="39"/>
  <c r="C124" i="39"/>
  <c r="D34" i="39"/>
  <c r="H633" i="39"/>
  <c r="E134" i="39"/>
  <c r="F636" i="39"/>
  <c r="C633" i="39"/>
  <c r="G669" i="39"/>
  <c r="C561" i="39"/>
  <c r="C338" i="39"/>
  <c r="G581" i="39"/>
  <c r="D661" i="39"/>
  <c r="F154" i="39"/>
  <c r="D960" i="39"/>
  <c r="G896" i="39"/>
  <c r="F843" i="39"/>
  <c r="C597" i="39"/>
  <c r="E3" i="39"/>
  <c r="E99" i="39"/>
  <c r="I223" i="39"/>
  <c r="E258" i="39"/>
  <c r="S36" i="9"/>
  <c r="C126" i="39"/>
  <c r="C11" i="39"/>
  <c r="H448" i="39"/>
  <c r="H290" i="39"/>
  <c r="D150" i="39"/>
  <c r="H548" i="39"/>
  <c r="I79" i="39"/>
  <c r="D645" i="39"/>
  <c r="D289" i="39"/>
  <c r="F600" i="39"/>
  <c r="D101" i="39"/>
  <c r="H978" i="39"/>
  <c r="E984" i="39"/>
  <c r="G908" i="39"/>
  <c r="H523" i="39"/>
  <c r="G381" i="39"/>
  <c r="F1003" i="39"/>
  <c r="F935" i="39"/>
  <c r="H447" i="39"/>
  <c r="D829" i="39"/>
  <c r="C943" i="39"/>
  <c r="F863" i="39"/>
  <c r="E49" i="39"/>
  <c r="H254" i="39"/>
  <c r="H231" i="39"/>
  <c r="I8" i="39"/>
  <c r="E864" i="39"/>
  <c r="E184" i="39"/>
  <c r="D744" i="39"/>
  <c r="I231" i="39"/>
  <c r="E563" i="39"/>
  <c r="I395" i="39"/>
  <c r="H20" i="39"/>
  <c r="G711" i="39"/>
  <c r="F328" i="39"/>
  <c r="E121" i="39"/>
  <c r="F912" i="39"/>
  <c r="G413" i="39"/>
  <c r="D13" i="39"/>
  <c r="C195" i="39"/>
  <c r="F54" i="39"/>
  <c r="I847" i="39"/>
  <c r="F339" i="39"/>
  <c r="H142" i="39"/>
  <c r="F911" i="39"/>
  <c r="D367" i="39"/>
  <c r="G29" i="39"/>
  <c r="G108" i="39"/>
  <c r="I750" i="39"/>
  <c r="I482" i="39"/>
  <c r="H722" i="39"/>
  <c r="G645" i="39"/>
  <c r="G958" i="39"/>
  <c r="D484" i="39"/>
  <c r="E299" i="39"/>
  <c r="C867" i="39"/>
  <c r="D59" i="39"/>
  <c r="I748" i="39"/>
  <c r="E120" i="39"/>
  <c r="C218" i="39"/>
  <c r="F915" i="39"/>
  <c r="H201" i="39"/>
  <c r="I553" i="39"/>
  <c r="G668" i="39"/>
  <c r="I752" i="39"/>
  <c r="R48" i="9"/>
  <c r="C300" i="39"/>
  <c r="G157" i="39"/>
  <c r="C289" i="39"/>
  <c r="G984" i="39"/>
  <c r="I57" i="39"/>
  <c r="H938" i="39"/>
  <c r="I780" i="39"/>
  <c r="D659" i="39"/>
  <c r="C707" i="39"/>
  <c r="H969" i="39"/>
  <c r="F900" i="39"/>
  <c r="D179" i="39"/>
  <c r="H773" i="39"/>
  <c r="C958" i="39"/>
  <c r="D740" i="39"/>
  <c r="D919" i="39"/>
  <c r="C233" i="39"/>
  <c r="D296" i="39"/>
  <c r="H368" i="39"/>
  <c r="I368" i="39"/>
  <c r="D596" i="39"/>
  <c r="G573" i="39"/>
  <c r="G941" i="39"/>
  <c r="H139" i="39"/>
  <c r="D275" i="39"/>
  <c r="C1024" i="39"/>
  <c r="F401" i="39"/>
  <c r="C988" i="39"/>
  <c r="I103" i="39"/>
  <c r="E761" i="39"/>
  <c r="G159" i="39"/>
  <c r="D426" i="39"/>
  <c r="I632" i="39"/>
  <c r="G502" i="39"/>
  <c r="G368" i="39"/>
  <c r="E614" i="39"/>
  <c r="F943" i="39"/>
  <c r="G882" i="39"/>
  <c r="F987" i="39"/>
  <c r="F819" i="39"/>
  <c r="F6" i="6"/>
  <c r="F10" i="8" s="1"/>
  <c r="G208" i="39"/>
  <c r="G744" i="39"/>
  <c r="I177" i="39"/>
  <c r="I729" i="39"/>
  <c r="F71" i="39"/>
  <c r="I578" i="39"/>
  <c r="G146" i="39"/>
  <c r="G425" i="39"/>
  <c r="E451" i="39"/>
  <c r="H537" i="39"/>
  <c r="F577" i="39"/>
  <c r="G659" i="39"/>
  <c r="G576" i="39"/>
  <c r="C526" i="39"/>
  <c r="E253" i="39"/>
  <c r="H219" i="39"/>
  <c r="E1012" i="39"/>
  <c r="H43" i="39"/>
  <c r="C763" i="39"/>
  <c r="C121" i="39"/>
  <c r="G64" i="39"/>
  <c r="F604" i="39"/>
  <c r="F209" i="39"/>
  <c r="C468" i="39"/>
  <c r="C417" i="39"/>
  <c r="G201" i="39"/>
  <c r="D902" i="39"/>
  <c r="D95" i="39"/>
  <c r="C388" i="39"/>
  <c r="I921" i="39"/>
  <c r="E628" i="39"/>
  <c r="D884" i="39"/>
  <c r="D143" i="39"/>
  <c r="D696" i="39"/>
  <c r="F324" i="39"/>
  <c r="H562" i="39"/>
  <c r="D163" i="39"/>
  <c r="F841" i="39"/>
  <c r="D851" i="39"/>
  <c r="H398" i="39"/>
  <c r="D133" i="39"/>
  <c r="G362" i="39"/>
  <c r="R9" i="9"/>
  <c r="I531" i="39"/>
  <c r="E748" i="39"/>
  <c r="D703" i="39"/>
  <c r="G670" i="39"/>
  <c r="D57" i="39"/>
  <c r="F719" i="39"/>
  <c r="F425" i="39"/>
  <c r="C871" i="39"/>
  <c r="C614" i="39"/>
  <c r="G246" i="39"/>
  <c r="G420" i="39"/>
  <c r="C965" i="39"/>
  <c r="D680" i="39"/>
  <c r="P26" i="9"/>
  <c r="E6" i="8" s="1"/>
  <c r="P49" i="9"/>
  <c r="F563" i="39"/>
  <c r="I975" i="39"/>
  <c r="I176" i="39"/>
  <c r="F946" i="39"/>
  <c r="E806" i="39"/>
  <c r="D166" i="39"/>
  <c r="H185" i="39"/>
  <c r="E643" i="39"/>
  <c r="I27" i="39"/>
  <c r="D135" i="39"/>
  <c r="F199" i="39"/>
  <c r="C159" i="39"/>
  <c r="H527" i="39"/>
  <c r="F489" i="39"/>
  <c r="G951" i="39"/>
  <c r="G924" i="39"/>
  <c r="I801" i="39"/>
  <c r="I402" i="39"/>
  <c r="F15" i="39"/>
  <c r="I423" i="39"/>
  <c r="C974" i="39"/>
  <c r="C400" i="39"/>
  <c r="I200" i="39"/>
  <c r="I19" i="39"/>
  <c r="F974" i="39"/>
  <c r="F118" i="39"/>
  <c r="G227" i="39"/>
  <c r="H761" i="39"/>
  <c r="H376" i="39"/>
  <c r="G4" i="39"/>
  <c r="C89" i="39"/>
  <c r="P15" i="9"/>
  <c r="G169" i="39"/>
  <c r="F39" i="39"/>
  <c r="G484" i="39"/>
  <c r="E745" i="39"/>
  <c r="F395" i="39"/>
  <c r="G658" i="39"/>
  <c r="H444" i="39"/>
  <c r="F504" i="39"/>
  <c r="H760" i="39"/>
  <c r="I747" i="39"/>
  <c r="C451" i="39"/>
  <c r="I1011" i="39"/>
  <c r="F786" i="39"/>
  <c r="E378" i="39"/>
  <c r="G328" i="39"/>
  <c r="G320" i="39"/>
  <c r="C806" i="39"/>
  <c r="F41" i="39"/>
  <c r="I316" i="39"/>
  <c r="D583" i="39"/>
  <c r="E926" i="39"/>
  <c r="F336" i="39"/>
  <c r="H811" i="39"/>
  <c r="F879" i="39"/>
  <c r="E95" i="39"/>
  <c r="H513" i="39"/>
  <c r="C334" i="39"/>
  <c r="H611" i="39"/>
  <c r="H693" i="39"/>
  <c r="E602" i="39"/>
  <c r="C205" i="39"/>
  <c r="E63" i="39"/>
  <c r="E509" i="39"/>
  <c r="G630" i="39"/>
  <c r="G859" i="39"/>
  <c r="F110" i="39"/>
  <c r="E197" i="39"/>
  <c r="F664" i="39"/>
  <c r="H704" i="39"/>
  <c r="G815" i="39"/>
  <c r="I851" i="39"/>
  <c r="I212" i="39"/>
  <c r="C263" i="39"/>
  <c r="C347" i="39"/>
  <c r="D285" i="39"/>
  <c r="F295" i="39"/>
  <c r="E599" i="39"/>
  <c r="F897" i="39"/>
  <c r="H721" i="39"/>
  <c r="H47" i="39"/>
  <c r="I425" i="39"/>
  <c r="R21" i="9"/>
  <c r="G699" i="39"/>
  <c r="E144" i="39"/>
  <c r="I989" i="39"/>
  <c r="C304" i="39"/>
  <c r="E114" i="39"/>
  <c r="D843" i="39"/>
  <c r="E597" i="39"/>
  <c r="I98" i="39"/>
  <c r="E481" i="39"/>
  <c r="E380" i="39"/>
  <c r="S42" i="9"/>
  <c r="C466" i="39"/>
  <c r="F497" i="39"/>
  <c r="D793" i="39"/>
  <c r="G521" i="39"/>
  <c r="F94" i="39"/>
  <c r="I951" i="39"/>
  <c r="H297" i="39"/>
  <c r="T41" i="9"/>
  <c r="G107" i="39"/>
  <c r="F319" i="39"/>
  <c r="I67" i="39"/>
  <c r="E931" i="39"/>
  <c r="G210" i="39"/>
  <c r="C201" i="39"/>
  <c r="I462" i="39"/>
  <c r="H22" i="39"/>
  <c r="D91" i="39"/>
  <c r="D953" i="39"/>
  <c r="I208" i="39"/>
  <c r="E615" i="39"/>
  <c r="D712" i="39"/>
  <c r="C701" i="39"/>
  <c r="H13" i="3"/>
  <c r="H207" i="39"/>
  <c r="F956" i="39"/>
  <c r="E357" i="39"/>
  <c r="G415" i="39"/>
  <c r="H106" i="39"/>
  <c r="I166" i="39"/>
  <c r="I125" i="39"/>
  <c r="F166" i="39"/>
  <c r="D694" i="39"/>
  <c r="G129" i="39"/>
  <c r="F435" i="39"/>
  <c r="E413" i="39"/>
  <c r="I173" i="39"/>
  <c r="D202" i="39"/>
  <c r="I548" i="39"/>
  <c r="G566" i="39"/>
  <c r="G343" i="39"/>
  <c r="H30" i="39"/>
  <c r="G116" i="39"/>
  <c r="H575" i="39"/>
  <c r="G188" i="39"/>
  <c r="F283" i="39"/>
  <c r="C588" i="39"/>
  <c r="I277" i="39"/>
  <c r="F491" i="39"/>
  <c r="E106" i="39"/>
  <c r="H498" i="39"/>
  <c r="E57" i="39"/>
  <c r="C604" i="39"/>
  <c r="C535" i="39"/>
  <c r="F392" i="39"/>
  <c r="D900" i="39"/>
  <c r="H148" i="39"/>
  <c r="G708" i="39"/>
  <c r="I102" i="39"/>
  <c r="G459" i="39"/>
  <c r="C467" i="39"/>
  <c r="F117" i="39"/>
  <c r="F787" i="39"/>
  <c r="G588" i="39"/>
  <c r="F894" i="39"/>
  <c r="E698" i="39"/>
  <c r="I87" i="39"/>
  <c r="C95" i="39"/>
  <c r="C39" i="39"/>
  <c r="F131" i="39"/>
  <c r="I810" i="39"/>
  <c r="G153" i="39"/>
  <c r="E243" i="39"/>
  <c r="C249" i="39"/>
  <c r="H167" i="39"/>
  <c r="H779" i="39"/>
  <c r="G112" i="39"/>
  <c r="F346" i="39"/>
  <c r="E886" i="39"/>
  <c r="C878" i="39"/>
  <c r="F712" i="39"/>
  <c r="F105" i="39"/>
  <c r="D610" i="39"/>
  <c r="I587" i="39"/>
  <c r="D5" i="39"/>
  <c r="G304" i="39"/>
  <c r="H641" i="39"/>
  <c r="P23" i="9"/>
  <c r="I867" i="39"/>
  <c r="E852" i="39"/>
  <c r="H396" i="39"/>
  <c r="D833" i="39"/>
  <c r="F158" i="39"/>
  <c r="C542" i="39"/>
  <c r="E862" i="39"/>
  <c r="D608" i="39"/>
  <c r="I878" i="39"/>
  <c r="G953" i="39"/>
  <c r="F766" i="39"/>
  <c r="E740" i="39"/>
  <c r="I726" i="39"/>
  <c r="D883" i="39"/>
  <c r="C496" i="39"/>
  <c r="H89" i="39"/>
  <c r="G719" i="39"/>
  <c r="G345" i="39"/>
  <c r="I262" i="39"/>
  <c r="G380" i="39"/>
  <c r="F34" i="39"/>
  <c r="G510" i="39"/>
  <c r="E953" i="39"/>
  <c r="F668" i="39"/>
  <c r="C412" i="39"/>
  <c r="G971" i="39"/>
  <c r="G812" i="39"/>
  <c r="D377" i="39"/>
  <c r="H772" i="39"/>
  <c r="D945" i="39"/>
  <c r="G762" i="39"/>
  <c r="D168" i="39"/>
  <c r="C525" i="39"/>
  <c r="C969" i="39"/>
  <c r="F592" i="39"/>
  <c r="I60" i="39"/>
  <c r="F76" i="39"/>
  <c r="H40" i="39"/>
  <c r="C864" i="39"/>
  <c r="D992" i="39"/>
  <c r="F334" i="39"/>
  <c r="F282" i="39"/>
  <c r="G1" i="39"/>
  <c r="D407" i="39"/>
  <c r="F326" i="39"/>
  <c r="C86" i="39"/>
  <c r="G457" i="39"/>
  <c r="H898" i="39"/>
  <c r="C264" i="39"/>
  <c r="E746" i="39"/>
  <c r="I278" i="39"/>
  <c r="H588" i="39"/>
  <c r="G301" i="39"/>
  <c r="C22" i="39"/>
  <c r="H702" i="39"/>
  <c r="H853" i="39"/>
  <c r="D789" i="39"/>
  <c r="D827" i="39"/>
  <c r="G195" i="39"/>
  <c r="H580" i="39"/>
  <c r="F918" i="39"/>
  <c r="I579" i="39"/>
  <c r="I38" i="39"/>
  <c r="D688" i="39"/>
  <c r="C131" i="39"/>
  <c r="I495" i="39"/>
  <c r="I228" i="39"/>
  <c r="C925" i="39"/>
  <c r="G638" i="39"/>
  <c r="F936" i="39"/>
  <c r="H256" i="39"/>
  <c r="F361" i="39"/>
  <c r="F716" i="39"/>
  <c r="C439" i="39"/>
  <c r="C846" i="39"/>
  <c r="E537" i="39"/>
  <c r="G938" i="39"/>
  <c r="H365" i="39"/>
  <c r="D761" i="39"/>
  <c r="D593" i="39"/>
  <c r="F25" i="39"/>
  <c r="E723" i="39"/>
  <c r="C825" i="39"/>
  <c r="F394" i="39"/>
  <c r="F509" i="39"/>
  <c r="D216" i="39"/>
  <c r="I639" i="39"/>
  <c r="F444" i="39"/>
  <c r="E167" i="39"/>
  <c r="I626" i="39"/>
  <c r="I818" i="39"/>
  <c r="G323" i="39"/>
  <c r="H890" i="39"/>
  <c r="F126" i="39"/>
  <c r="F740" i="39"/>
  <c r="G168" i="39"/>
  <c r="C630" i="39"/>
  <c r="D682" i="39"/>
  <c r="E895" i="39"/>
  <c r="H622" i="39"/>
  <c r="D401" i="39"/>
  <c r="D813" i="39"/>
  <c r="E82" i="39"/>
  <c r="C353" i="39"/>
  <c r="E607" i="39"/>
  <c r="I389" i="39"/>
  <c r="E376" i="39"/>
  <c r="D149" i="39"/>
  <c r="H409" i="39"/>
  <c r="G74" i="39"/>
  <c r="P42" i="9"/>
  <c r="E484" i="39"/>
  <c r="G602" i="39"/>
  <c r="E393" i="39"/>
  <c r="D211" i="39"/>
  <c r="G39" i="39"/>
  <c r="H410" i="39"/>
  <c r="F749" i="39"/>
  <c r="C362" i="39"/>
  <c r="E388" i="39"/>
  <c r="D832" i="39"/>
  <c r="I719" i="39"/>
  <c r="D565" i="39"/>
  <c r="I955" i="39"/>
  <c r="D30" i="39"/>
  <c r="I732" i="39"/>
  <c r="G177" i="39"/>
  <c r="I307" i="39"/>
  <c r="H468" i="39"/>
  <c r="I170" i="39"/>
  <c r="I549" i="39"/>
  <c r="E922" i="39"/>
  <c r="I512" i="39"/>
  <c r="D319" i="39"/>
  <c r="I743" i="39"/>
  <c r="I497" i="39"/>
  <c r="G398" i="39"/>
  <c r="F1008" i="39"/>
  <c r="E581" i="39"/>
  <c r="D555" i="39"/>
  <c r="D250" i="39"/>
  <c r="D949" i="39"/>
  <c r="I906" i="39"/>
  <c r="D241" i="39"/>
  <c r="F799" i="39"/>
  <c r="I124" i="39"/>
  <c r="C505" i="39"/>
  <c r="E442" i="39"/>
  <c r="G522" i="39"/>
  <c r="C694" i="39"/>
  <c r="C316" i="39"/>
  <c r="I613" i="39"/>
  <c r="E456" i="39"/>
  <c r="G211" i="39"/>
  <c r="I367" i="39"/>
  <c r="F605" i="39"/>
  <c r="F155" i="39"/>
  <c r="E307" i="39"/>
  <c r="C457" i="39"/>
  <c r="E334" i="39"/>
  <c r="C742" i="39"/>
  <c r="C890" i="39"/>
  <c r="C226" i="39"/>
  <c r="I328" i="39"/>
  <c r="E691" i="39"/>
  <c r="E930" i="39"/>
  <c r="E646" i="39"/>
  <c r="C646" i="39"/>
  <c r="E156" i="39"/>
  <c r="E139" i="39"/>
  <c r="I592" i="39"/>
  <c r="G165" i="39"/>
  <c r="H187" i="39"/>
  <c r="G217" i="39"/>
  <c r="E435" i="39"/>
  <c r="F842" i="39"/>
  <c r="G809" i="39"/>
  <c r="I817" i="39"/>
  <c r="I150" i="39"/>
  <c r="I538" i="39"/>
  <c r="F423" i="39"/>
  <c r="F695" i="39"/>
  <c r="E137" i="39"/>
  <c r="D206" i="39"/>
  <c r="E177" i="39"/>
  <c r="G338" i="39"/>
  <c r="F653" i="39"/>
  <c r="G410" i="39"/>
  <c r="H408" i="39"/>
  <c r="E645" i="39"/>
  <c r="I478" i="39"/>
  <c r="H307" i="39"/>
  <c r="E956" i="39"/>
  <c r="G838" i="39"/>
  <c r="F625" i="39"/>
  <c r="C835" i="39"/>
  <c r="G191" i="39"/>
  <c r="F278" i="39"/>
  <c r="H897" i="39"/>
  <c r="D968" i="39"/>
  <c r="I631" i="39"/>
  <c r="E59" i="39"/>
  <c r="F356" i="39"/>
  <c r="I996" i="39"/>
  <c r="I731" i="39"/>
  <c r="G205" i="39"/>
  <c r="H471" i="39"/>
  <c r="H469" i="39"/>
  <c r="F722" i="39"/>
  <c r="E507" i="39"/>
  <c r="I179" i="39"/>
  <c r="E176" i="39"/>
  <c r="G365" i="39"/>
  <c r="I360" i="39"/>
  <c r="H295" i="39"/>
  <c r="E53" i="39"/>
  <c r="I532" i="39"/>
  <c r="D292" i="39"/>
  <c r="G649" i="39"/>
  <c r="I575" i="39"/>
  <c r="G204" i="39"/>
  <c r="E725" i="39"/>
  <c r="F635" i="39"/>
  <c r="E87" i="39"/>
  <c r="F967" i="39"/>
  <c r="G390" i="39"/>
  <c r="H279" i="39"/>
  <c r="E128" i="39"/>
  <c r="C98" i="39"/>
  <c r="E389" i="39"/>
  <c r="F85" i="39"/>
  <c r="I303" i="39"/>
  <c r="E317" i="39"/>
  <c r="G167" i="39"/>
  <c r="F421" i="39"/>
  <c r="R18" i="9"/>
  <c r="G925" i="39"/>
  <c r="C843" i="39"/>
  <c r="H414" i="39"/>
  <c r="C269" i="39"/>
  <c r="D635" i="39"/>
  <c r="H83" i="39"/>
  <c r="G734" i="39"/>
  <c r="H331" i="39"/>
  <c r="G166" i="39"/>
  <c r="G285" i="39"/>
  <c r="F242" i="39"/>
  <c r="I561" i="39"/>
  <c r="D526" i="39"/>
  <c r="C976" i="39"/>
  <c r="D738" i="39"/>
  <c r="I172" i="39"/>
  <c r="D837" i="39"/>
  <c r="E368" i="39"/>
  <c r="C53" i="39"/>
  <c r="H945" i="39"/>
  <c r="G577" i="39"/>
  <c r="D736" i="39"/>
  <c r="G309" i="39"/>
  <c r="G219" i="39"/>
  <c r="I831" i="39"/>
  <c r="C244" i="39"/>
  <c r="E978" i="39"/>
  <c r="C594" i="39"/>
  <c r="E204" i="39"/>
  <c r="F503" i="39"/>
  <c r="I796" i="39"/>
  <c r="F930" i="39"/>
  <c r="E298" i="39"/>
  <c r="D533" i="39"/>
  <c r="E578" i="39"/>
  <c r="T23" i="9"/>
  <c r="I465" i="39"/>
  <c r="F13" i="39"/>
  <c r="E327" i="39"/>
  <c r="I424" i="39"/>
  <c r="F179" i="39"/>
  <c r="E577" i="39"/>
  <c r="I2" i="39"/>
  <c r="H716" i="39"/>
  <c r="C8" i="39"/>
  <c r="I408" i="39"/>
  <c r="H302" i="39"/>
  <c r="H355" i="39"/>
  <c r="D137" i="39"/>
  <c r="P48" i="9"/>
  <c r="I944" i="39"/>
  <c r="S40" i="9"/>
  <c r="I295" i="39"/>
  <c r="G32" i="39"/>
  <c r="D988" i="39"/>
  <c r="I285" i="39"/>
  <c r="F568" i="39"/>
  <c r="G791" i="39"/>
  <c r="D391" i="39"/>
  <c r="H787" i="39"/>
  <c r="H907" i="39"/>
  <c r="H724" i="39"/>
  <c r="D450" i="39"/>
  <c r="F111" i="39"/>
  <c r="H102" i="39"/>
  <c r="D473" i="39"/>
  <c r="G453" i="39"/>
  <c r="G22" i="7"/>
  <c r="D104" i="39"/>
  <c r="D828" i="39"/>
  <c r="G676" i="39"/>
  <c r="I536" i="39"/>
  <c r="D493" i="39"/>
  <c r="E319" i="39"/>
  <c r="C625" i="39"/>
  <c r="D531" i="39"/>
  <c r="C433" i="39"/>
  <c r="I85" i="39"/>
  <c r="H427" i="39"/>
  <c r="G498" i="39"/>
  <c r="H553" i="39"/>
  <c r="C25" i="39"/>
  <c r="H361" i="39"/>
  <c r="E766" i="39"/>
  <c r="C872" i="39"/>
  <c r="E333" i="39"/>
  <c r="H503" i="39"/>
  <c r="H154" i="39"/>
  <c r="H44" i="39"/>
  <c r="F485" i="39"/>
  <c r="G97" i="39"/>
  <c r="G114" i="39"/>
  <c r="E479" i="39"/>
  <c r="F134" i="39"/>
  <c r="I765" i="39"/>
  <c r="D658" i="39"/>
  <c r="E670" i="39"/>
  <c r="F272" i="39"/>
  <c r="D1019" i="39"/>
  <c r="H118" i="39"/>
  <c r="I265" i="39"/>
  <c r="H227" i="39"/>
  <c r="C841" i="39"/>
  <c r="G12" i="39"/>
  <c r="H243" i="39"/>
  <c r="I501" i="39"/>
  <c r="C788" i="39"/>
  <c r="I733" i="39"/>
  <c r="E582" i="39"/>
  <c r="I322" i="39"/>
  <c r="H275" i="39"/>
  <c r="F359" i="39"/>
  <c r="G326" i="39"/>
  <c r="H489" i="39"/>
  <c r="D910" i="39"/>
  <c r="D660" i="39"/>
  <c r="E211" i="39"/>
  <c r="D138" i="39"/>
  <c r="C639" i="39"/>
  <c r="H251" i="39"/>
  <c r="G995" i="39"/>
  <c r="G238" i="39"/>
  <c r="D503" i="39"/>
  <c r="G454" i="39"/>
  <c r="D117" i="39"/>
  <c r="E849" i="39"/>
  <c r="F443" i="39"/>
  <c r="I397" i="39"/>
  <c r="H284" i="39"/>
  <c r="G479" i="39"/>
  <c r="I77" i="39"/>
  <c r="C603" i="39"/>
  <c r="C113" i="39"/>
  <c r="D352" i="39"/>
  <c r="I605" i="39"/>
  <c r="H37" i="39"/>
  <c r="I83" i="39"/>
  <c r="T18" i="9"/>
  <c r="E898" i="39"/>
  <c r="F593" i="39"/>
  <c r="D71" i="39"/>
  <c r="C600" i="39"/>
  <c r="C1007" i="39"/>
  <c r="E212" i="39"/>
  <c r="F981" i="39"/>
  <c r="E189" i="39"/>
  <c r="F751" i="39"/>
  <c r="D398" i="39"/>
  <c r="H904" i="39"/>
  <c r="H519" i="39"/>
  <c r="H375" i="39"/>
  <c r="F594" i="39"/>
  <c r="D981" i="39"/>
  <c r="I622" i="39"/>
  <c r="G28" i="39"/>
  <c r="H762" i="39"/>
  <c r="G492" i="39"/>
  <c r="F942" i="39"/>
  <c r="G617" i="39"/>
  <c r="D893" i="39"/>
  <c r="D708" i="39"/>
  <c r="E755" i="39"/>
  <c r="H277" i="39"/>
  <c r="D303" i="39"/>
  <c r="H53" i="39"/>
  <c r="E735" i="39"/>
  <c r="F207" i="39"/>
  <c r="R30" i="9"/>
  <c r="E93" i="39"/>
  <c r="C464" i="39"/>
  <c r="G81" i="39"/>
  <c r="D4" i="39"/>
  <c r="I929" i="39"/>
  <c r="G418" i="39"/>
  <c r="H522" i="39"/>
  <c r="H9" i="39"/>
  <c r="C718" i="39"/>
  <c r="G119" i="39"/>
  <c r="G647" i="39"/>
  <c r="H979" i="39"/>
  <c r="E16" i="39"/>
  <c r="I113" i="39"/>
  <c r="E130" i="39"/>
  <c r="E756" i="39"/>
  <c r="H674" i="39"/>
  <c r="I552" i="39"/>
  <c r="I55" i="39"/>
  <c r="G690" i="39"/>
  <c r="C810" i="39"/>
  <c r="E1019" i="39"/>
  <c r="F311" i="39"/>
  <c r="D670" i="39"/>
  <c r="I416" i="39"/>
  <c r="G485" i="39"/>
  <c r="F973" i="39"/>
  <c r="H939" i="39"/>
  <c r="E724" i="39"/>
  <c r="F173" i="39"/>
  <c r="I80" i="39"/>
  <c r="F441" i="39"/>
  <c r="H431" i="39"/>
  <c r="E432" i="39"/>
  <c r="H497" i="39"/>
  <c r="F64" i="39"/>
  <c r="H569" i="39"/>
  <c r="G406" i="39"/>
  <c r="C18" i="39"/>
  <c r="F558" i="39"/>
  <c r="C560" i="39"/>
  <c r="E517" i="39"/>
  <c r="F495" i="39"/>
  <c r="E556" i="39"/>
  <c r="D575" i="39"/>
  <c r="I362" i="39"/>
  <c r="I383" i="39"/>
  <c r="C498" i="39"/>
  <c r="D112" i="39"/>
  <c r="Q13" i="9"/>
  <c r="G242" i="39"/>
  <c r="D595" i="39"/>
  <c r="G475" i="39"/>
  <c r="F239" i="39"/>
  <c r="I18" i="39"/>
  <c r="E846" i="39"/>
  <c r="D424" i="39"/>
  <c r="E989" i="39"/>
  <c r="H770" i="39"/>
  <c r="H950" i="39"/>
  <c r="G307" i="39"/>
  <c r="F260" i="39"/>
  <c r="E841" i="39"/>
  <c r="T9" i="9"/>
  <c r="H446" i="39"/>
  <c r="H1001" i="39"/>
  <c r="I286" i="39"/>
  <c r="H531" i="39"/>
  <c r="F581" i="39"/>
  <c r="G332" i="39"/>
  <c r="H618" i="39"/>
  <c r="F513" i="39"/>
  <c r="G901" i="39"/>
  <c r="E683" i="39"/>
  <c r="I400" i="39"/>
  <c r="F14" i="39"/>
  <c r="G774" i="39"/>
  <c r="F674" i="39"/>
  <c r="E277" i="39"/>
  <c r="C189" i="39"/>
  <c r="F895" i="39"/>
  <c r="F715" i="39"/>
  <c r="F498" i="39"/>
  <c r="E851" i="39"/>
  <c r="D613" i="39"/>
  <c r="G244" i="39"/>
  <c r="E983" i="39"/>
  <c r="E870" i="39"/>
  <c r="I410" i="39"/>
  <c r="D713" i="39"/>
  <c r="F303" i="39"/>
  <c r="F788" i="39"/>
  <c r="D346" i="39"/>
  <c r="I290" i="39"/>
  <c r="D451" i="39"/>
  <c r="H438" i="39"/>
  <c r="G737" i="39"/>
  <c r="I828" i="39"/>
  <c r="G140" i="39"/>
  <c r="I247" i="39"/>
  <c r="F493" i="39"/>
  <c r="C308" i="39"/>
  <c r="F279" i="39"/>
  <c r="E146" i="39"/>
  <c r="I546" i="39"/>
  <c r="F486" i="39"/>
  <c r="I564" i="39"/>
  <c r="C585" i="39"/>
  <c r="C157" i="39"/>
  <c r="H221" i="39"/>
  <c r="I1015" i="39"/>
  <c r="G192" i="39"/>
  <c r="Q17" i="9"/>
  <c r="E612" i="39"/>
  <c r="I966" i="39"/>
  <c r="H229" i="39"/>
  <c r="H870" i="39"/>
  <c r="I439" i="39"/>
  <c r="C96" i="39"/>
  <c r="G930" i="39"/>
  <c r="C182" i="39"/>
  <c r="F741" i="39"/>
  <c r="E401" i="39"/>
  <c r="E661" i="39"/>
  <c r="H108" i="39"/>
  <c r="F40" i="39"/>
  <c r="C894" i="39"/>
  <c r="C190" i="39"/>
  <c r="I703" i="39"/>
  <c r="E188" i="39"/>
  <c r="I378" i="39"/>
  <c r="I560" i="39"/>
  <c r="F124" i="39"/>
  <c r="E28" i="39"/>
  <c r="E592" i="39"/>
  <c r="G435" i="39"/>
  <c r="H76" i="39"/>
  <c r="F534" i="39"/>
  <c r="G634" i="39"/>
  <c r="D33" i="39"/>
  <c r="D760" i="39"/>
  <c r="H996" i="39"/>
  <c r="G687" i="39"/>
  <c r="H980" i="39"/>
  <c r="D348" i="39"/>
  <c r="D192" i="39"/>
  <c r="I709" i="39"/>
  <c r="I808" i="39"/>
  <c r="C898" i="39"/>
  <c r="F280" i="39"/>
  <c r="I962" i="39"/>
  <c r="G907" i="39"/>
  <c r="D614" i="39"/>
  <c r="C851" i="39"/>
  <c r="G870" i="39"/>
  <c r="H99" i="39"/>
  <c r="C287" i="39"/>
  <c r="E929" i="39"/>
  <c r="E825" i="39"/>
  <c r="I455" i="39"/>
  <c r="C893" i="39"/>
  <c r="H549" i="39"/>
  <c r="G781" i="39"/>
  <c r="E964" i="39"/>
  <c r="F141" i="39"/>
  <c r="G519" i="39"/>
  <c r="G79" i="39"/>
  <c r="F38" i="39"/>
  <c r="S48" i="9"/>
  <c r="I163" i="39"/>
  <c r="C365" i="39"/>
  <c r="F256" i="39"/>
  <c r="F300" i="39"/>
  <c r="F506" i="39"/>
  <c r="D459" i="39"/>
  <c r="F378" i="39"/>
  <c r="D940" i="39"/>
  <c r="H774" i="39"/>
  <c r="E917" i="39"/>
  <c r="I718" i="39"/>
  <c r="C823" i="39"/>
  <c r="E623" i="39"/>
  <c r="D733" i="39"/>
  <c r="I331" i="39"/>
  <c r="I178" i="39"/>
  <c r="C29" i="39"/>
  <c r="C952" i="39"/>
  <c r="I917" i="39"/>
  <c r="I421" i="39"/>
  <c r="H754" i="39"/>
  <c r="D20" i="39"/>
  <c r="E200" i="39"/>
  <c r="D495" i="39"/>
  <c r="D153" i="39"/>
  <c r="I659" i="39"/>
  <c r="I182" i="39"/>
  <c r="G53" i="39"/>
  <c r="I723" i="39"/>
  <c r="E102" i="39"/>
  <c r="E107" i="39"/>
  <c r="G428" i="39"/>
  <c r="D872" i="39"/>
  <c r="H701" i="39"/>
  <c r="H225" i="39"/>
  <c r="E773" i="39"/>
  <c r="E209" i="39"/>
  <c r="I267" i="39"/>
  <c r="D226" i="39"/>
  <c r="G667" i="39"/>
  <c r="I281" i="39"/>
  <c r="C817" i="39"/>
  <c r="D518" i="39"/>
  <c r="C531" i="39"/>
  <c r="D41" i="39"/>
  <c r="I620" i="39"/>
  <c r="H816" i="39"/>
  <c r="F756" i="39"/>
  <c r="F588" i="39"/>
  <c r="G499" i="39"/>
  <c r="D351" i="39"/>
  <c r="F152" i="39"/>
  <c r="E958" i="39"/>
  <c r="E601" i="39"/>
  <c r="G713" i="39"/>
  <c r="I542" i="39"/>
  <c r="C571" i="39"/>
  <c r="E762" i="39"/>
  <c r="C899" i="39"/>
  <c r="D913" i="39"/>
  <c r="C434" i="39"/>
  <c r="E971" i="39"/>
  <c r="G149" i="39"/>
  <c r="I809" i="39"/>
  <c r="G283" i="39"/>
  <c r="D372" i="39"/>
  <c r="H339" i="39"/>
  <c r="I121" i="39"/>
  <c r="H8" i="3"/>
  <c r="G506" i="39"/>
  <c r="C469" i="39"/>
  <c r="F351" i="39"/>
  <c r="E787" i="39"/>
  <c r="E794" i="39"/>
  <c r="D293" i="39"/>
  <c r="D566" i="39"/>
  <c r="H496" i="39"/>
  <c r="D89" i="39"/>
  <c r="G753" i="39"/>
  <c r="I865" i="39"/>
  <c r="F596" i="39"/>
  <c r="G563" i="39"/>
  <c r="E549" i="39"/>
  <c r="G881" i="39"/>
  <c r="C374" i="39"/>
  <c r="F570" i="39"/>
  <c r="I711" i="39"/>
  <c r="F555" i="39"/>
  <c r="F46" i="39"/>
  <c r="F670" i="39"/>
  <c r="I821" i="39"/>
  <c r="F1" i="39"/>
  <c r="H918" i="39"/>
  <c r="E932" i="39"/>
  <c r="H1017" i="39"/>
  <c r="I510" i="39"/>
  <c r="I935" i="39"/>
  <c r="G409" i="39"/>
  <c r="D513" i="39"/>
  <c r="H547" i="39"/>
  <c r="O48" i="9"/>
  <c r="H466" i="39"/>
  <c r="F927" i="39"/>
  <c r="I431" i="39"/>
  <c r="E811" i="39"/>
  <c r="E408" i="39"/>
  <c r="E193" i="39"/>
  <c r="G973" i="39"/>
  <c r="D997" i="39"/>
  <c r="H314" i="39"/>
  <c r="F372" i="39"/>
  <c r="F297" i="39"/>
  <c r="D480" i="39"/>
  <c r="C416" i="39"/>
  <c r="H230" i="39"/>
  <c r="G361" i="39"/>
  <c r="I840" i="39"/>
  <c r="F606" i="39"/>
  <c r="I960" i="39"/>
  <c r="C991" i="39"/>
  <c r="I807" i="39"/>
  <c r="I1010" i="39"/>
  <c r="H910" i="39"/>
  <c r="H739" i="39"/>
  <c r="E566" i="39"/>
  <c r="D167" i="39"/>
  <c r="D273" i="39"/>
  <c r="H140" i="39"/>
  <c r="C963" i="39"/>
  <c r="D181" i="39"/>
  <c r="G1004" i="39"/>
  <c r="E6" i="6"/>
  <c r="E10" i="8" s="1"/>
  <c r="G163" i="39"/>
  <c r="F699" i="39"/>
  <c r="F501" i="39"/>
  <c r="C774" i="39"/>
  <c r="F643" i="39"/>
  <c r="H100" i="39"/>
  <c r="C805" i="39"/>
  <c r="E237" i="39"/>
  <c r="H311" i="39"/>
  <c r="C406" i="39"/>
  <c r="I873" i="39"/>
  <c r="F90" i="39"/>
  <c r="I863" i="39"/>
  <c r="D951" i="39"/>
  <c r="H146" i="39"/>
  <c r="D52" i="39"/>
  <c r="C441" i="39"/>
  <c r="H926" i="39"/>
  <c r="C76" i="39"/>
  <c r="D176" i="39"/>
  <c r="I637" i="39"/>
  <c r="H434" i="39"/>
  <c r="F511" i="39"/>
  <c r="D701" i="39"/>
  <c r="G288" i="39"/>
  <c r="C813" i="39"/>
  <c r="G839" i="39"/>
  <c r="I856" i="39"/>
  <c r="D946" i="39"/>
  <c r="E467" i="39"/>
  <c r="D248" i="39"/>
  <c r="I528" i="39"/>
  <c r="C942" i="39"/>
  <c r="D481" i="39"/>
  <c r="D109" i="39"/>
  <c r="I1024" i="39"/>
  <c r="E666" i="39"/>
  <c r="D568" i="39"/>
  <c r="I520" i="39"/>
  <c r="C869" i="39"/>
  <c r="G693" i="39"/>
  <c r="E713" i="39"/>
  <c r="G298" i="39"/>
  <c r="C811" i="39"/>
  <c r="I30" i="39"/>
  <c r="H39" i="39"/>
  <c r="G155" i="39"/>
  <c r="I63" i="39"/>
  <c r="H351" i="39"/>
  <c r="E361" i="39"/>
  <c r="E465" i="39"/>
  <c r="I354" i="39"/>
  <c r="F642" i="39"/>
  <c r="I224" i="39"/>
  <c r="G692" i="39"/>
  <c r="D657" i="39"/>
  <c r="I475" i="39"/>
  <c r="F371" i="39"/>
  <c r="C370" i="39"/>
  <c r="H873" i="39"/>
  <c r="G888" i="39"/>
  <c r="H1023" i="39"/>
  <c r="E585" i="39"/>
  <c r="F607" i="39"/>
  <c r="I225" i="39"/>
  <c r="F556" i="39"/>
  <c r="I634" i="39"/>
  <c r="D615" i="39"/>
  <c r="I998" i="39"/>
  <c r="D803" i="39"/>
  <c r="C749" i="39"/>
  <c r="D1020" i="39"/>
  <c r="F389" i="39"/>
  <c r="F48" i="39"/>
  <c r="I933" i="39"/>
  <c r="G154" i="39"/>
  <c r="C887" i="39"/>
  <c r="I271" i="39"/>
  <c r="I187" i="39"/>
  <c r="I615" i="39"/>
  <c r="F899" i="39"/>
  <c r="G671" i="39"/>
  <c r="E497" i="39"/>
  <c r="H514" i="39"/>
  <c r="H985" i="39"/>
  <c r="C713" i="39"/>
  <c r="C904" i="39"/>
  <c r="E680" i="39"/>
  <c r="G7" i="39"/>
  <c r="H661" i="39"/>
  <c r="D522" i="39"/>
  <c r="I838" i="39"/>
  <c r="H358" i="39"/>
  <c r="G757" i="39"/>
  <c r="H967" i="39"/>
  <c r="D284" i="39"/>
  <c r="I979" i="39"/>
  <c r="I630" i="39"/>
  <c r="H440" i="39"/>
  <c r="G468" i="39"/>
  <c r="C92" i="39"/>
  <c r="E5" i="39"/>
  <c r="D926" i="39"/>
  <c r="G455" i="39"/>
  <c r="D79" i="39"/>
  <c r="H719" i="39"/>
  <c r="C497" i="39"/>
  <c r="C257" i="39"/>
  <c r="I910" i="39"/>
  <c r="D340" i="39"/>
  <c r="H462" i="39"/>
  <c r="G822" i="39"/>
  <c r="H237" i="39"/>
  <c r="C191" i="39"/>
  <c r="E520" i="39"/>
  <c r="D530" i="39"/>
  <c r="F329" i="39"/>
  <c r="D702" i="39"/>
  <c r="E287" i="39"/>
  <c r="I99" i="39"/>
  <c r="D831" i="39"/>
  <c r="F380" i="39"/>
  <c r="H526" i="39"/>
  <c r="D263" i="39"/>
  <c r="I28" i="39"/>
  <c r="C463" i="39"/>
  <c r="E328" i="39"/>
  <c r="C111" i="39"/>
  <c r="D857" i="39"/>
  <c r="G65" i="39"/>
  <c r="I899" i="39"/>
  <c r="C644" i="39"/>
  <c r="H326" i="39"/>
  <c r="I563" i="39"/>
  <c r="G975" i="39"/>
  <c r="I161" i="39"/>
  <c r="C456" i="39"/>
  <c r="D389" i="39"/>
  <c r="H119" i="39"/>
  <c r="D146" i="39"/>
  <c r="I463" i="39"/>
  <c r="I192" i="39"/>
  <c r="I266" i="39"/>
  <c r="F983" i="39"/>
  <c r="C596" i="39"/>
  <c r="C322" i="39"/>
  <c r="D157" i="39"/>
  <c r="E71" i="39"/>
  <c r="G131" i="39"/>
  <c r="G712" i="39"/>
  <c r="F747" i="39"/>
  <c r="F11" i="39"/>
  <c r="D49" i="39"/>
  <c r="G122" i="39"/>
  <c r="D99" i="39"/>
  <c r="D121" i="39"/>
  <c r="D113" i="39"/>
  <c r="C137" i="39"/>
  <c r="D864" i="39"/>
  <c r="D492" i="39"/>
  <c r="G643" i="39"/>
  <c r="F484" i="39"/>
  <c r="E343" i="39"/>
  <c r="I589" i="39"/>
  <c r="D870" i="39"/>
  <c r="I486" i="39"/>
  <c r="E501" i="39"/>
  <c r="H385" i="39"/>
  <c r="D763" i="39"/>
  <c r="E854" i="39"/>
  <c r="E947" i="39"/>
  <c r="D549" i="39"/>
  <c r="E30" i="39"/>
  <c r="C160" i="39"/>
  <c r="G877" i="39"/>
  <c r="D82" i="39"/>
  <c r="D123" i="39"/>
  <c r="I839" i="39"/>
  <c r="R12" i="9"/>
  <c r="C998" i="39"/>
  <c r="G974" i="39"/>
  <c r="G504" i="39"/>
  <c r="E516" i="39"/>
  <c r="F33" i="39"/>
  <c r="F962" i="39"/>
  <c r="H288" i="39"/>
  <c r="G980" i="39"/>
  <c r="G247" i="39"/>
  <c r="C541" i="39"/>
  <c r="H77" i="39"/>
  <c r="E199" i="39"/>
  <c r="D433" i="39"/>
  <c r="G677" i="39"/>
  <c r="I17" i="39"/>
  <c r="H843" i="39"/>
  <c r="I568" i="39"/>
  <c r="H866" i="39"/>
  <c r="I767" i="39"/>
  <c r="G596" i="39"/>
  <c r="F92" i="39"/>
  <c r="I540" i="39"/>
  <c r="I432" i="39"/>
  <c r="E747" i="39"/>
  <c r="H381" i="39"/>
  <c r="I399" i="39"/>
  <c r="C605" i="39"/>
  <c r="F5" i="39"/>
  <c r="H608" i="39"/>
  <c r="I396" i="39"/>
  <c r="H181" i="39"/>
  <c r="F44" i="39"/>
  <c r="C478" i="39"/>
  <c r="C764" i="39"/>
  <c r="F639" i="39"/>
  <c r="G101" i="39"/>
  <c r="C873" i="39"/>
  <c r="G85" i="39"/>
  <c r="D714" i="39"/>
  <c r="E701" i="39"/>
  <c r="G224" i="39"/>
  <c r="I648" i="39"/>
  <c r="C920" i="39"/>
  <c r="F299" i="39"/>
  <c r="H508" i="39"/>
  <c r="H775" i="39"/>
  <c r="C391" i="39"/>
  <c r="E64" i="39"/>
  <c r="D371" i="39"/>
  <c r="F237" i="39"/>
  <c r="H947" i="39"/>
  <c r="E449" i="39"/>
  <c r="D353" i="39"/>
  <c r="C857" i="39"/>
  <c r="H655" i="39"/>
  <c r="I1006" i="39"/>
  <c r="D537" i="39"/>
  <c r="I704" i="39"/>
  <c r="H973" i="39"/>
  <c r="G127" i="39"/>
  <c r="D611" i="39"/>
  <c r="E1010" i="39"/>
  <c r="F919" i="39"/>
  <c r="I313" i="39"/>
  <c r="D119" i="39"/>
  <c r="F331" i="39"/>
  <c r="G580" i="39"/>
  <c r="I757" i="39"/>
  <c r="E893" i="39"/>
  <c r="E726" i="39"/>
  <c r="H680" i="39"/>
  <c r="E524" i="39"/>
  <c r="D174" i="39"/>
  <c r="H915" i="39"/>
  <c r="G654" i="39"/>
  <c r="I230" i="39"/>
  <c r="D394" i="39"/>
  <c r="I86" i="39"/>
  <c r="F466" i="39"/>
  <c r="I335" i="39"/>
  <c r="E179" i="39"/>
  <c r="D126" i="39"/>
  <c r="E242" i="39"/>
  <c r="I616" i="39"/>
  <c r="C194" i="39"/>
  <c r="C115" i="39"/>
  <c r="E743" i="39"/>
  <c r="I155" i="39"/>
  <c r="H329" i="39"/>
  <c r="D368" i="39"/>
  <c r="F348" i="39"/>
  <c r="G575" i="39"/>
  <c r="D122" i="39"/>
  <c r="F7" i="39"/>
  <c r="G889" i="39"/>
  <c r="D896" i="39"/>
  <c r="D491" i="39"/>
  <c r="I547" i="39"/>
  <c r="C657" i="39"/>
  <c r="D623" i="39"/>
  <c r="C769" i="39"/>
  <c r="H348" i="39"/>
  <c r="G235" i="39"/>
  <c r="D152" i="39"/>
  <c r="C103" i="39"/>
  <c r="H837" i="39"/>
  <c r="E590" i="39"/>
  <c r="E284" i="39"/>
  <c r="G347" i="39"/>
  <c r="C413" i="39"/>
  <c r="D668" i="39"/>
  <c r="I1000" i="39"/>
  <c r="C101" i="39"/>
  <c r="G376" i="39"/>
  <c r="I90" i="39"/>
  <c r="I430" i="39"/>
  <c r="H183" i="39"/>
  <c r="E105" i="39"/>
  <c r="F482" i="39"/>
  <c r="E720" i="39"/>
  <c r="F805" i="39"/>
  <c r="H401" i="39"/>
  <c r="C607" i="39"/>
  <c r="C41" i="39"/>
  <c r="H124" i="39"/>
  <c r="H929" i="39"/>
  <c r="C490" i="39"/>
  <c r="H933" i="39"/>
  <c r="D602" i="39"/>
  <c r="F812" i="39"/>
  <c r="G976" i="39"/>
  <c r="D881" i="39"/>
  <c r="D298" i="39"/>
  <c r="E309" i="39"/>
  <c r="D904" i="39"/>
  <c r="E498" i="39"/>
  <c r="H95" i="39"/>
  <c r="E453" i="39"/>
  <c r="C420" i="39"/>
  <c r="I32" i="39"/>
  <c r="C380" i="39"/>
  <c r="H170" i="39"/>
  <c r="H312" i="39"/>
  <c r="E252" i="39"/>
  <c r="G585" i="39"/>
  <c r="C784" i="39"/>
  <c r="G335" i="39"/>
  <c r="F194" i="39"/>
  <c r="C868" i="39"/>
  <c r="C82" i="39"/>
  <c r="C832" i="39"/>
  <c r="G541" i="39"/>
  <c r="C688" i="39"/>
  <c r="F887" i="39"/>
  <c r="E775" i="39"/>
  <c r="I621" i="39"/>
  <c r="G183" i="39"/>
  <c r="I296" i="39"/>
  <c r="F387" i="39"/>
  <c r="C356" i="39"/>
  <c r="F52" i="39"/>
  <c r="H962" i="39"/>
  <c r="G34" i="39"/>
  <c r="F510" i="39"/>
  <c r="H490" i="39"/>
  <c r="H809" i="39"/>
  <c r="D240" i="39"/>
  <c r="H960" i="39"/>
  <c r="I300" i="39"/>
  <c r="C292" i="39"/>
  <c r="D930" i="39"/>
  <c r="E39" i="39"/>
  <c r="H342" i="39"/>
  <c r="C133" i="39"/>
  <c r="E155" i="39"/>
  <c r="E347" i="39"/>
  <c r="G553" i="39"/>
  <c r="F769" i="39"/>
  <c r="H685" i="39"/>
  <c r="G831" i="39"/>
  <c r="G429" i="39"/>
  <c r="D87" i="39"/>
  <c r="E604" i="39"/>
  <c r="H748" i="39"/>
  <c r="G910" i="39"/>
  <c r="D868" i="39"/>
  <c r="I453" i="39"/>
  <c r="G842" i="39"/>
  <c r="F926" i="39"/>
  <c r="C574" i="39"/>
  <c r="G1016" i="39"/>
  <c r="C128" i="39"/>
  <c r="I980" i="39"/>
  <c r="G348" i="39"/>
  <c r="F454" i="39"/>
  <c r="E162" i="39"/>
  <c r="E349" i="39"/>
  <c r="E910" i="39"/>
  <c r="F195" i="39"/>
  <c r="I137" i="39"/>
  <c r="G810" i="39"/>
  <c r="G261" i="39"/>
  <c r="H757" i="39"/>
  <c r="G702" i="39"/>
  <c r="C618" i="39"/>
  <c r="H1021" i="39"/>
  <c r="I20" i="39"/>
  <c r="C667" i="39"/>
  <c r="F984" i="39"/>
  <c r="O15" i="9"/>
  <c r="I12" i="6"/>
  <c r="H1010" i="39"/>
  <c r="I403" i="39"/>
  <c r="D812" i="39"/>
  <c r="I375" i="39"/>
  <c r="G431" i="39"/>
  <c r="D468" i="39"/>
  <c r="D23" i="39"/>
  <c r="H990" i="39"/>
  <c r="H848" i="39"/>
  <c r="G651" i="39"/>
  <c r="F595" i="39"/>
  <c r="G94" i="39"/>
  <c r="G1003" i="39"/>
  <c r="H22" i="7"/>
  <c r="G24" i="39"/>
  <c r="I280" i="39"/>
  <c r="G675" i="39"/>
  <c r="D323" i="39"/>
  <c r="E32" i="39"/>
  <c r="E829" i="39"/>
  <c r="G461" i="39"/>
  <c r="C926" i="39"/>
  <c r="F190" i="39"/>
  <c r="F864" i="39"/>
  <c r="G571" i="39"/>
  <c r="I65" i="39"/>
  <c r="C306" i="39"/>
  <c r="I572" i="39"/>
  <c r="I488" i="39"/>
  <c r="C100" i="39"/>
  <c r="D895" i="39"/>
  <c r="G554" i="39"/>
  <c r="D344" i="39"/>
  <c r="I978" i="39"/>
  <c r="D787" i="39"/>
  <c r="G378" i="39"/>
  <c r="D24" i="39"/>
  <c r="H363" i="39"/>
  <c r="I387" i="39"/>
  <c r="I885" i="39"/>
  <c r="F244" i="39"/>
  <c r="D431" i="39"/>
  <c r="H533" i="39"/>
  <c r="F587" i="39"/>
  <c r="F269" i="39"/>
  <c r="G404" i="39"/>
  <c r="F993" i="39"/>
  <c r="D711" i="39"/>
  <c r="H14" i="3"/>
  <c r="D212" i="39"/>
  <c r="G804" i="39"/>
  <c r="H518" i="39"/>
  <c r="O19" i="9"/>
  <c r="H406" i="39"/>
  <c r="H179" i="39"/>
  <c r="E136" i="39"/>
  <c r="I409" i="39"/>
  <c r="F530" i="39"/>
  <c r="E254" i="39"/>
  <c r="I369" i="39"/>
  <c r="E631" i="39"/>
  <c r="C168" i="39"/>
  <c r="H17" i="39"/>
  <c r="E476" i="39"/>
  <c r="C80" i="39"/>
  <c r="D781" i="39"/>
  <c r="D242" i="39"/>
  <c r="I1009" i="39"/>
  <c r="G3" i="39"/>
  <c r="H610" i="39"/>
  <c r="H2" i="39"/>
  <c r="D754" i="39"/>
  <c r="G77" i="39"/>
  <c r="G606" i="39"/>
  <c r="F646" i="39"/>
  <c r="H85" i="39"/>
  <c r="H12" i="3"/>
  <c r="G134" i="39"/>
  <c r="D397" i="39"/>
  <c r="G325" i="39"/>
  <c r="D449" i="39"/>
  <c r="G82" i="39"/>
  <c r="I317" i="39"/>
  <c r="I991" i="39"/>
  <c r="D948" i="39"/>
  <c r="D310" i="39"/>
  <c r="I234" i="39"/>
  <c r="C540" i="39"/>
  <c r="I72" i="39"/>
  <c r="H839" i="39"/>
  <c r="P10" i="9"/>
  <c r="G579" i="39"/>
  <c r="C700" i="39"/>
  <c r="C206" i="39"/>
  <c r="F907" i="39"/>
  <c r="G601" i="39"/>
  <c r="E523" i="39"/>
  <c r="G446" i="39"/>
  <c r="G260" i="39"/>
  <c r="G449" i="39"/>
  <c r="E301" i="39"/>
  <c r="C927" i="39"/>
  <c r="E876" i="39"/>
  <c r="C647" i="39"/>
  <c r="E437" i="39"/>
  <c r="D18" i="39"/>
  <c r="D269" i="39"/>
  <c r="I11" i="39"/>
  <c r="G600" i="39"/>
  <c r="E721" i="39"/>
  <c r="C43" i="39"/>
  <c r="F743" i="39"/>
  <c r="E783" i="39"/>
  <c r="D183" i="39"/>
  <c r="E159" i="39"/>
  <c r="E356" i="39"/>
  <c r="G388" i="39"/>
  <c r="E475" i="39"/>
  <c r="H859" i="39"/>
  <c r="F903" i="39"/>
  <c r="D268" i="39"/>
  <c r="F87" i="39"/>
  <c r="D312" i="39"/>
  <c r="G6" i="39"/>
  <c r="S23" i="9"/>
  <c r="E12" i="39"/>
  <c r="H1012" i="39"/>
  <c r="D830" i="39"/>
  <c r="D354" i="39"/>
  <c r="I175" i="39"/>
  <c r="F254" i="39"/>
  <c r="I860" i="39"/>
  <c r="E185" i="39"/>
  <c r="E270" i="39"/>
  <c r="I4" i="39"/>
  <c r="F908" i="39"/>
  <c r="G801" i="39"/>
  <c r="E690" i="39"/>
  <c r="I188" i="39"/>
  <c r="D177" i="39"/>
  <c r="C213" i="39"/>
  <c r="H587" i="39"/>
  <c r="C637" i="39"/>
  <c r="H28" i="3"/>
  <c r="I778" i="39"/>
  <c r="H1003" i="39"/>
  <c r="H867" i="39"/>
  <c r="I467" i="39"/>
  <c r="F50" i="39"/>
  <c r="E398" i="39"/>
  <c r="C520" i="39"/>
  <c r="D83" i="39"/>
  <c r="G534" i="39"/>
  <c r="H1024" i="39"/>
  <c r="G346" i="39"/>
  <c r="F611" i="39"/>
  <c r="I783" i="39"/>
  <c r="E512" i="39"/>
  <c r="D194" i="39"/>
  <c r="E329" i="39"/>
  <c r="C1010" i="39"/>
  <c r="D906" i="39"/>
  <c r="F850" i="39"/>
  <c r="D64" i="39"/>
  <c r="D505" i="39"/>
  <c r="C198" i="39"/>
  <c r="F290" i="39"/>
  <c r="I270" i="39"/>
  <c r="E13" i="39"/>
  <c r="G9" i="7"/>
  <c r="O38" i="9"/>
  <c r="F337" i="39"/>
  <c r="D413" i="39"/>
  <c r="D646" i="39"/>
  <c r="C615" i="39"/>
  <c r="D108" i="39"/>
  <c r="G855" i="39"/>
  <c r="F579" i="39"/>
  <c r="I7" i="39"/>
  <c r="D306" i="39"/>
  <c r="E373" i="39"/>
  <c r="E138" i="39"/>
  <c r="H467" i="39"/>
  <c r="E149" i="39"/>
  <c r="D228" i="39"/>
  <c r="H825" i="39"/>
  <c r="H845" i="39"/>
  <c r="C676" i="39"/>
  <c r="E731" i="39"/>
  <c r="C146" i="39"/>
  <c r="G1008" i="39"/>
  <c r="E938" i="39"/>
  <c r="F78" i="39"/>
  <c r="G627" i="39"/>
  <c r="D984" i="39"/>
  <c r="G462" i="39"/>
  <c r="I6" i="39"/>
  <c r="C586" i="39"/>
  <c r="D496" i="39"/>
  <c r="I502" i="39"/>
  <c r="H332" i="39"/>
  <c r="F837" i="39"/>
  <c r="G867" i="39"/>
  <c r="H273" i="39"/>
  <c r="D720" i="39"/>
  <c r="I464" i="39"/>
  <c r="H902" i="39"/>
  <c r="F259" i="39"/>
  <c r="C354" i="39"/>
  <c r="E37" i="39"/>
  <c r="I544" i="39"/>
  <c r="H402" i="39"/>
  <c r="F684" i="39"/>
  <c r="E935" i="39"/>
  <c r="H785" i="39"/>
  <c r="F191" i="39"/>
  <c r="I936" i="39"/>
  <c r="G703" i="39"/>
  <c r="G230" i="39"/>
  <c r="H850" i="39"/>
  <c r="H252" i="39"/>
  <c r="D511" i="39"/>
  <c r="I877" i="39"/>
  <c r="E551" i="39"/>
  <c r="F704" i="39"/>
  <c r="E656" i="39"/>
  <c r="I292" i="39"/>
  <c r="F739" i="39"/>
  <c r="F364" i="39"/>
  <c r="D58" i="39"/>
  <c r="I237" i="39"/>
  <c r="G250" i="39"/>
  <c r="F404" i="39"/>
  <c r="D234" i="39"/>
  <c r="H563" i="39"/>
  <c r="H1008" i="39"/>
  <c r="F920" i="39"/>
  <c r="D219" i="39"/>
  <c r="H426" i="39"/>
  <c r="G442" i="39"/>
  <c r="C626" i="39"/>
  <c r="E78" i="39"/>
  <c r="E654" i="39"/>
  <c r="D329" i="39"/>
  <c r="D794" i="39"/>
  <c r="C918" i="39"/>
  <c r="E421" i="39"/>
  <c r="I485" i="39"/>
  <c r="H433" i="39"/>
  <c r="P20" i="9"/>
  <c r="D710" i="39"/>
  <c r="I942" i="39"/>
  <c r="D37" i="39"/>
  <c r="D704" i="39"/>
  <c r="H379" i="39"/>
  <c r="H265" i="39"/>
  <c r="G303" i="39"/>
  <c r="G569" i="39"/>
  <c r="D67" i="39"/>
  <c r="E38" i="39"/>
  <c r="I628" i="39"/>
  <c r="G302" i="39"/>
  <c r="C783" i="39"/>
  <c r="H694" i="39"/>
  <c r="I706" i="39"/>
  <c r="G760" i="39"/>
  <c r="C197" i="39"/>
  <c r="O9" i="9"/>
  <c r="G778" i="39"/>
  <c r="F368" i="39"/>
  <c r="I617" i="39"/>
  <c r="I42" i="39"/>
  <c r="H883" i="39"/>
  <c r="H965" i="39"/>
  <c r="I551" i="39"/>
  <c r="E2" i="39"/>
  <c r="G69" i="39"/>
  <c r="E288" i="39"/>
  <c r="D313" i="39"/>
  <c r="F241" i="39"/>
  <c r="I151" i="39"/>
  <c r="H749" i="39"/>
  <c r="I93" i="39"/>
  <c r="D1022" i="39"/>
  <c r="E881" i="39"/>
  <c r="D258" i="39"/>
  <c r="F407" i="39"/>
  <c r="E921" i="39"/>
  <c r="C110" i="39"/>
  <c r="C507" i="39"/>
  <c r="I106" i="39"/>
  <c r="I374" i="39"/>
  <c r="C63" i="39"/>
  <c r="I554" i="39"/>
  <c r="I311" i="39"/>
  <c r="H294" i="39"/>
  <c r="I407" i="39"/>
  <c r="E273" i="39"/>
  <c r="C770" i="39"/>
  <c r="F549" i="39"/>
  <c r="F263" i="39"/>
  <c r="I1005" i="39"/>
  <c r="Q10" i="9"/>
  <c r="D662" i="39"/>
  <c r="G657" i="39"/>
  <c r="G648" i="39"/>
  <c r="C151" i="39"/>
  <c r="E143" i="39"/>
  <c r="G961" i="39"/>
  <c r="C1" i="39"/>
  <c r="E823" i="39"/>
  <c r="E636" i="39"/>
  <c r="E166" i="39"/>
  <c r="E404" i="39"/>
  <c r="D45" i="39"/>
  <c r="H798" i="39"/>
  <c r="G137" i="39"/>
  <c r="H157" i="39"/>
  <c r="H662" i="39"/>
  <c r="F872" i="39"/>
  <c r="H232" i="39"/>
  <c r="D882" i="39"/>
  <c r="E629" i="39"/>
  <c r="D1024" i="39"/>
  <c r="G2" i="39"/>
  <c r="H803" i="39"/>
  <c r="G377" i="39"/>
  <c r="H646" i="39"/>
  <c r="E428" i="39"/>
  <c r="H540" i="39"/>
  <c r="G248" i="39"/>
  <c r="D752" i="39"/>
  <c r="H46" i="39"/>
  <c r="H714" i="39"/>
  <c r="F20" i="39"/>
  <c r="F582" i="39"/>
  <c r="C335" i="39"/>
  <c r="I40" i="39"/>
  <c r="H1013" i="39"/>
  <c r="I968" i="39"/>
  <c r="G885" i="39"/>
  <c r="F116" i="39"/>
  <c r="F829" i="39"/>
  <c r="G251" i="39"/>
  <c r="I217" i="39"/>
  <c r="I15" i="39"/>
  <c r="G828" i="39"/>
  <c r="E207" i="39"/>
  <c r="D396" i="39"/>
  <c r="D326" i="39"/>
  <c r="F657" i="39"/>
  <c r="D453" i="39"/>
  <c r="E440" i="39"/>
  <c r="H57" i="39"/>
  <c r="E251" i="39"/>
  <c r="D796" i="39"/>
  <c r="I672" i="39"/>
  <c r="D751" i="39"/>
  <c r="C708" i="39"/>
  <c r="C889" i="39"/>
  <c r="H210" i="39"/>
  <c r="D373" i="39"/>
  <c r="D187" i="39"/>
  <c r="F566" i="39"/>
  <c r="I550" i="39"/>
  <c r="D245" i="39"/>
  <c r="G821" i="39"/>
  <c r="C237" i="39"/>
  <c r="I600" i="39"/>
  <c r="F424" i="39"/>
  <c r="H558" i="39"/>
  <c r="S12" i="9"/>
  <c r="D899" i="39"/>
  <c r="D1001" i="39"/>
  <c r="F772" i="39"/>
  <c r="E208" i="39"/>
  <c r="E979" i="39"/>
  <c r="H281" i="39"/>
  <c r="G400" i="39"/>
  <c r="F167" i="39"/>
  <c r="F107" i="39"/>
  <c r="F612" i="39"/>
  <c r="H511" i="39"/>
  <c r="E568" i="39"/>
  <c r="E25" i="39"/>
  <c r="F650" i="39"/>
  <c r="G834" i="39"/>
  <c r="G807" i="39"/>
  <c r="I73" i="39"/>
  <c r="G8" i="39"/>
  <c r="H55" i="39"/>
  <c r="C323" i="39"/>
  <c r="I618" i="39"/>
  <c r="E561" i="39"/>
  <c r="H972" i="39"/>
  <c r="C14" i="39"/>
  <c r="E695" i="39"/>
  <c r="E111" i="39"/>
  <c r="I287" i="39"/>
  <c r="H305" i="39"/>
  <c r="E214" i="39"/>
  <c r="G1018" i="39"/>
  <c r="C147" i="39"/>
  <c r="I545" i="39"/>
  <c r="E86" i="39"/>
  <c r="D299" i="39"/>
  <c r="H718" i="39"/>
  <c r="D519" i="39"/>
  <c r="E265" i="39"/>
  <c r="H456" i="39"/>
  <c r="G281" i="39"/>
  <c r="F205" i="39"/>
  <c r="E371" i="39"/>
  <c r="H286" i="39"/>
  <c r="C938" i="39"/>
  <c r="D129" i="39"/>
  <c r="E158" i="39"/>
  <c r="F637" i="39"/>
  <c r="D514" i="39"/>
  <c r="F677" i="39"/>
  <c r="E206" i="39"/>
  <c r="F93" i="39"/>
  <c r="P18" i="9"/>
  <c r="D990" i="39"/>
  <c r="H500" i="39"/>
  <c r="H750" i="39"/>
  <c r="F898" i="39"/>
  <c r="G375" i="39"/>
  <c r="H920" i="39"/>
  <c r="D84" i="39"/>
  <c r="E633" i="39"/>
  <c r="H481" i="39"/>
  <c r="T14" i="9"/>
  <c r="I365" i="39"/>
  <c r="G18" i="39"/>
  <c r="I24" i="39"/>
  <c r="D147" i="39"/>
  <c r="D1007" i="39"/>
  <c r="I169" i="39"/>
  <c r="D452" i="39"/>
  <c r="F132" i="39"/>
  <c r="G994" i="39"/>
  <c r="E377" i="39"/>
  <c r="H11" i="39"/>
  <c r="S8" i="9"/>
  <c r="S22" i="9"/>
  <c r="D692" i="39"/>
  <c r="E912" i="39"/>
  <c r="C372" i="39"/>
  <c r="D866" i="39"/>
  <c r="D628" i="39"/>
  <c r="G607" i="39"/>
  <c r="F840" i="39"/>
  <c r="I205" i="39"/>
  <c r="C717" i="39"/>
  <c r="Q35" i="9"/>
  <c r="E447" i="39"/>
  <c r="H543" i="39"/>
  <c r="I359" i="39"/>
  <c r="I47" i="39"/>
  <c r="C666" i="39"/>
  <c r="F1020" i="39"/>
  <c r="C415" i="39"/>
  <c r="E784" i="39"/>
  <c r="F333" i="39"/>
  <c r="E29" i="39"/>
  <c r="E324" i="39"/>
  <c r="H177" i="39"/>
  <c r="I49" i="39"/>
  <c r="D534" i="39"/>
  <c r="G1021" i="39"/>
  <c r="F305" i="39"/>
  <c r="G934" i="39"/>
  <c r="E572" i="39"/>
  <c r="I931" i="39"/>
  <c r="I721" i="39"/>
  <c r="D304" i="39"/>
  <c r="I702" i="39"/>
  <c r="F948" i="39"/>
  <c r="H963" i="39"/>
  <c r="G595" i="39"/>
  <c r="C19" i="39"/>
  <c r="I376" i="39"/>
  <c r="E859" i="39"/>
  <c r="D630" i="39"/>
  <c r="C1019" i="39"/>
  <c r="H630" i="39"/>
  <c r="D441" i="39"/>
  <c r="D846" i="39"/>
  <c r="E818" i="39"/>
  <c r="C849" i="39"/>
  <c r="F883" i="39"/>
  <c r="D743" i="39"/>
  <c r="E847" i="39"/>
  <c r="I566" i="39"/>
  <c r="G792" i="39"/>
  <c r="F536" i="39"/>
  <c r="G106" i="39"/>
  <c r="G605" i="39"/>
  <c r="F243" i="39"/>
  <c r="G241" i="39"/>
  <c r="D434" i="39"/>
  <c r="H21" i="7"/>
  <c r="F701" i="39"/>
  <c r="C658" i="39"/>
  <c r="F47" i="39"/>
  <c r="D618" i="39"/>
  <c r="E603" i="39"/>
  <c r="D105" i="39"/>
  <c r="H133" i="39"/>
  <c r="E741" i="39"/>
  <c r="I680" i="39"/>
  <c r="T36" i="9"/>
  <c r="C376" i="39"/>
  <c r="I282" i="39"/>
  <c r="F586" i="39"/>
  <c r="Q15" i="9"/>
  <c r="I638" i="39"/>
  <c r="F682" i="39"/>
  <c r="D501" i="39"/>
  <c r="C495" i="39"/>
  <c r="I64" i="39"/>
  <c r="G292" i="39"/>
  <c r="E897" i="39"/>
  <c r="I827" i="39"/>
  <c r="I352" i="39"/>
  <c r="E414" i="39"/>
  <c r="C709" i="39"/>
  <c r="C842" i="39"/>
  <c r="F470" i="39"/>
  <c r="G963" i="39"/>
  <c r="D771" i="39"/>
  <c r="D582" i="39"/>
  <c r="I640" i="39"/>
  <c r="F27" i="39"/>
  <c r="G709" i="39"/>
  <c r="I167" i="39"/>
  <c r="Q31" i="9"/>
  <c r="G70" i="39"/>
  <c r="I490" i="39"/>
  <c r="I596" i="39"/>
  <c r="E839" i="39"/>
  <c r="E499" i="39"/>
  <c r="E446" i="39"/>
  <c r="E443" i="39"/>
  <c r="C214" i="39"/>
  <c r="I889" i="39"/>
  <c r="H966" i="39"/>
  <c r="E470" i="39"/>
  <c r="H885" i="39"/>
  <c r="I598" i="39"/>
  <c r="D81" i="39"/>
  <c r="E330" i="39"/>
  <c r="F57" i="39"/>
  <c r="D267" i="39"/>
  <c r="F415" i="39"/>
  <c r="H876" i="39"/>
  <c r="D12" i="39"/>
  <c r="G372" i="39"/>
  <c r="G1002" i="39"/>
  <c r="D406" i="39"/>
  <c r="G464" i="39"/>
  <c r="D921" i="39"/>
  <c r="G985" i="39"/>
  <c r="C40" i="39"/>
  <c r="I728" i="39"/>
  <c r="H120" i="39"/>
  <c r="F452" i="39"/>
  <c r="I597" i="39"/>
  <c r="D633" i="39"/>
  <c r="E591" i="39"/>
  <c r="F165" i="39"/>
  <c r="F8" i="39"/>
  <c r="E558" i="39"/>
  <c r="F647" i="39"/>
  <c r="E201" i="39"/>
  <c r="G472" i="39"/>
  <c r="F512" i="39"/>
  <c r="G329" i="39"/>
  <c r="F119" i="39"/>
  <c r="G523" i="39"/>
  <c r="D725" i="39"/>
  <c r="F377" i="39"/>
  <c r="H340" i="39"/>
  <c r="C125" i="39"/>
  <c r="H6" i="39"/>
  <c r="I489" i="39"/>
  <c r="E17" i="39"/>
  <c r="F129" i="39"/>
  <c r="D403" i="39"/>
  <c r="I56" i="39"/>
  <c r="G928" i="39"/>
  <c r="F439" i="39"/>
  <c r="I109" i="39"/>
  <c r="E405" i="39"/>
  <c r="H849" i="39"/>
  <c r="E480" i="39"/>
  <c r="F416" i="39"/>
  <c r="H174" i="39"/>
  <c r="I315" i="39"/>
  <c r="D160" i="39"/>
  <c r="C735" i="39"/>
  <c r="C620" i="39"/>
  <c r="I440" i="39"/>
  <c r="G47" i="39"/>
  <c r="C221" i="39"/>
  <c r="H160" i="39"/>
  <c r="E908" i="39"/>
  <c r="H666" i="39"/>
  <c r="E180" i="39"/>
  <c r="C754" i="39"/>
  <c r="I666" i="39"/>
  <c r="F357" i="39"/>
  <c r="F276" i="39"/>
  <c r="E883" i="39"/>
  <c r="D384" i="39"/>
  <c r="H1" i="39"/>
  <c r="F318" i="39"/>
  <c r="F481" i="39"/>
  <c r="I963" i="39"/>
  <c r="G808" i="39"/>
  <c r="C15" i="39"/>
  <c r="I344" i="39"/>
  <c r="C905" i="39"/>
  <c r="H559" i="39"/>
  <c r="E885" i="39"/>
  <c r="F228" i="39"/>
  <c r="G710" i="39"/>
  <c r="G843" i="39"/>
  <c r="C254" i="39"/>
  <c r="E719" i="39"/>
  <c r="E838" i="39"/>
  <c r="I468" i="39"/>
  <c r="D200" i="39"/>
  <c r="I54" i="39"/>
  <c r="F322" i="39"/>
  <c r="I919" i="39"/>
  <c r="H413" i="39"/>
  <c r="E246" i="39"/>
  <c r="F745" i="39"/>
  <c r="D295" i="39"/>
  <c r="D715" i="39"/>
  <c r="F627" i="39"/>
  <c r="H92" i="39"/>
  <c r="C129" i="39"/>
  <c r="C921" i="39"/>
  <c r="G477" i="39"/>
  <c r="H49" i="39"/>
  <c r="G542" i="39"/>
  <c r="G291" i="39"/>
  <c r="I12" i="39"/>
  <c r="F836" i="39"/>
  <c r="I245" i="39"/>
  <c r="F224" i="39"/>
  <c r="I204" i="39"/>
  <c r="C902" i="39"/>
  <c r="D107" i="39"/>
  <c r="E610" i="39"/>
  <c r="E323" i="39"/>
  <c r="H871" i="39"/>
  <c r="F818" i="39"/>
  <c r="E462" i="39"/>
  <c r="H11" i="3"/>
  <c r="D965" i="39"/>
  <c r="H515" i="39"/>
  <c r="F204" i="39"/>
  <c r="E469" i="39"/>
  <c r="D315" i="39"/>
  <c r="I883" i="39"/>
  <c r="G46" i="39"/>
  <c r="D546" i="39"/>
  <c r="D97" i="39"/>
  <c r="H737" i="39"/>
  <c r="E224" i="39"/>
  <c r="F17" i="39"/>
  <c r="E374" i="39"/>
  <c r="C935" i="39"/>
  <c r="H788" i="39"/>
  <c r="D464" i="39"/>
  <c r="E210" i="39"/>
  <c r="E316" i="39"/>
  <c r="D525" i="39"/>
  <c r="G493" i="39"/>
  <c r="H799" i="39"/>
  <c r="F499" i="39"/>
  <c r="E531" i="39"/>
  <c r="H673" i="39"/>
  <c r="E161" i="39"/>
  <c r="H70" i="39"/>
  <c r="E311" i="39"/>
  <c r="F652" i="39"/>
  <c r="I43" i="39"/>
  <c r="D966" i="39"/>
  <c r="H599" i="39"/>
  <c r="D638" i="39"/>
  <c r="E490" i="39"/>
  <c r="H330" i="39"/>
  <c r="I108" i="39"/>
  <c r="D584" i="39"/>
  <c r="G391" i="39"/>
  <c r="I496" i="39"/>
  <c r="D207" i="39"/>
  <c r="D494" i="39"/>
  <c r="G852" i="39"/>
  <c r="G539" i="39"/>
  <c r="D538" i="39"/>
  <c r="H74" i="39"/>
  <c r="H506" i="39"/>
  <c r="G1015" i="39"/>
  <c r="H1004" i="39"/>
  <c r="E315" i="39"/>
  <c r="H616" i="39"/>
  <c r="E46" i="39"/>
  <c r="G754" i="39"/>
  <c r="F665" i="39"/>
  <c r="E714" i="39"/>
  <c r="E332" i="39"/>
  <c r="D317" i="39"/>
  <c r="E521" i="39"/>
  <c r="C671" i="39"/>
  <c r="C232" i="39"/>
  <c r="C83" i="39"/>
  <c r="G957" i="39"/>
  <c r="H1019" i="39"/>
  <c r="D128" i="39"/>
  <c r="E312" i="39"/>
  <c r="D847" i="39"/>
  <c r="H316" i="39"/>
  <c r="F19" i="39"/>
  <c r="T10" i="9"/>
  <c r="C809" i="39"/>
  <c r="E454" i="39"/>
  <c r="E548" i="39"/>
  <c r="E264" i="39"/>
  <c r="D362" i="39"/>
  <c r="I845" i="39"/>
  <c r="F902" i="39"/>
  <c r="I138" i="39"/>
  <c r="C780" i="39"/>
  <c r="D576" i="39"/>
  <c r="F212" i="39"/>
  <c r="I101" i="39"/>
  <c r="C996" i="39"/>
  <c r="G497" i="39"/>
  <c r="C6" i="39"/>
  <c r="E632" i="39"/>
  <c r="E970" i="39"/>
  <c r="C699" i="39"/>
  <c r="F531" i="39"/>
  <c r="I1020" i="39"/>
  <c r="H155" i="39"/>
  <c r="G350" i="39"/>
  <c r="D208" i="39"/>
  <c r="H310" i="39"/>
  <c r="E483" i="39"/>
  <c r="H380" i="39"/>
  <c r="D510" i="39"/>
  <c r="F877" i="39"/>
  <c r="F157" i="39"/>
  <c r="H318" i="39"/>
  <c r="H644" i="39"/>
  <c r="D300" i="39"/>
  <c r="D886" i="39"/>
  <c r="D634" i="39"/>
  <c r="C696" i="39"/>
  <c r="C745" i="39"/>
  <c r="F479" i="39"/>
  <c r="G295" i="39"/>
  <c r="F383" i="39"/>
  <c r="G531" i="39"/>
  <c r="H66" i="39"/>
  <c r="D588" i="39"/>
  <c r="I961" i="39"/>
  <c r="F742" i="39"/>
  <c r="I937" i="39"/>
  <c r="I833" i="39"/>
  <c r="F168" i="39"/>
  <c r="F464" i="39"/>
  <c r="E742" i="39"/>
  <c r="D85" i="39"/>
  <c r="H325" i="39"/>
  <c r="F958" i="39"/>
  <c r="D93" i="39"/>
  <c r="I333" i="39"/>
  <c r="G395" i="39"/>
  <c r="C801" i="39"/>
  <c r="H872" i="39"/>
  <c r="G439" i="39"/>
  <c r="C352" i="39"/>
  <c r="E255" i="39"/>
  <c r="G239" i="39"/>
  <c r="E150" i="39"/>
  <c r="F729" i="39"/>
  <c r="I1013" i="39"/>
  <c r="I700" i="39"/>
  <c r="H900" i="39"/>
  <c r="E744" i="39"/>
  <c r="F147" i="39"/>
  <c r="D145" i="39"/>
  <c r="C320" i="39"/>
  <c r="E801" i="39"/>
  <c r="F245" i="39"/>
  <c r="D29" i="39"/>
  <c r="C54" i="39"/>
  <c r="I41" i="39"/>
  <c r="E487" i="39"/>
  <c r="F220" i="39"/>
  <c r="C250" i="39"/>
  <c r="I419" i="39"/>
  <c r="G174" i="39"/>
  <c r="F222" i="39"/>
  <c r="F198" i="39"/>
  <c r="C612" i="39"/>
  <c r="G11" i="39"/>
  <c r="I275" i="39"/>
  <c r="G565" i="39"/>
  <c r="F619" i="39"/>
  <c r="C875" i="39"/>
  <c r="H73" i="39"/>
  <c r="C212" i="39"/>
  <c r="G858" i="39"/>
  <c r="I123" i="39"/>
  <c r="D663" i="39"/>
  <c r="F310" i="39"/>
  <c r="F430" i="39"/>
  <c r="G341" i="39"/>
  <c r="G187" i="39"/>
  <c r="H542" i="39"/>
  <c r="G714" i="39"/>
  <c r="H652" i="39"/>
  <c r="F628" i="39"/>
  <c r="S15" i="9"/>
  <c r="F327" i="39"/>
  <c r="G352" i="39"/>
  <c r="I875" i="39"/>
  <c r="D470" i="39"/>
  <c r="D999" i="39"/>
  <c r="E461" i="39"/>
  <c r="G20" i="39"/>
  <c r="D427" i="39"/>
  <c r="H67" i="39"/>
  <c r="I707" i="39"/>
  <c r="C169" i="39"/>
  <c r="H304" i="39"/>
  <c r="E999" i="39"/>
  <c r="D218" i="39"/>
  <c r="R13" i="9"/>
  <c r="I154" i="39"/>
  <c r="D461" i="39"/>
  <c r="E6" i="39"/>
  <c r="H127" i="39"/>
  <c r="C284" i="39"/>
  <c r="I33" i="39"/>
  <c r="D808" i="39"/>
  <c r="H197" i="39"/>
  <c r="I643" i="39"/>
  <c r="G9" i="39"/>
  <c r="D86" i="39"/>
  <c r="C411" i="39"/>
  <c r="G412" i="39"/>
  <c r="E857" i="39"/>
  <c r="P36" i="9"/>
  <c r="D215" i="39"/>
  <c r="C556" i="39"/>
  <c r="G518" i="39"/>
  <c r="F532" i="39"/>
  <c r="D475" i="39"/>
  <c r="F502" i="39"/>
  <c r="I633" i="39"/>
  <c r="E51" i="39"/>
  <c r="E117" i="39"/>
  <c r="C613" i="39"/>
  <c r="G967" i="39"/>
  <c r="F986" i="39"/>
  <c r="C553" i="39"/>
  <c r="G578" i="39"/>
  <c r="I1001" i="39"/>
  <c r="G355" i="39"/>
  <c r="I741" i="39"/>
  <c r="D88" i="39"/>
  <c r="E431" i="39"/>
  <c r="C972" i="39"/>
  <c r="F985" i="39"/>
  <c r="H161" i="39"/>
  <c r="C5" i="39"/>
  <c r="I514" i="39"/>
  <c r="C848" i="39"/>
  <c r="E90" i="39"/>
  <c r="D387" i="39"/>
  <c r="G738" i="39"/>
  <c r="E115" i="39"/>
  <c r="D810" i="39"/>
  <c r="D1009" i="39"/>
  <c r="E1008" i="39"/>
  <c r="E900" i="39"/>
  <c r="G349" i="39"/>
  <c r="C608" i="39"/>
  <c r="D175" i="39"/>
  <c r="C739" i="39"/>
  <c r="F662" i="39"/>
  <c r="C716" i="39"/>
  <c r="G264" i="39"/>
  <c r="D131" i="39"/>
  <c r="E385" i="39"/>
  <c r="D47" i="39"/>
  <c r="F462" i="39"/>
  <c r="D479" i="39"/>
  <c r="G474" i="39"/>
  <c r="E677" i="39"/>
  <c r="C558" i="39"/>
  <c r="G783" i="39"/>
  <c r="H602" i="39"/>
  <c r="H209" i="39"/>
  <c r="H397" i="39"/>
  <c r="H162" i="39"/>
  <c r="C105" i="39"/>
  <c r="E534" i="39"/>
  <c r="I149" i="39"/>
  <c r="H21" i="39"/>
  <c r="G175" i="39"/>
  <c r="H138" i="39"/>
  <c r="I276" i="39"/>
  <c r="E56" i="39"/>
  <c r="I480" i="39"/>
  <c r="H903" i="39"/>
  <c r="E420" i="39"/>
  <c r="F172" i="39"/>
  <c r="C1009" i="39"/>
  <c r="I869" i="39"/>
  <c r="H5" i="39"/>
  <c r="F724" i="39"/>
  <c r="F31" i="39"/>
  <c r="G814" i="39"/>
  <c r="F525" i="39"/>
  <c r="C477" i="39"/>
  <c r="C508" i="39"/>
  <c r="D409" i="39"/>
  <c r="F139" i="39"/>
  <c r="I671" i="39"/>
  <c r="E34" i="39"/>
  <c r="D114" i="39"/>
  <c r="H822" i="39"/>
  <c r="D500" i="39"/>
  <c r="H393" i="39"/>
  <c r="E81" i="39"/>
  <c r="F81" i="39"/>
  <c r="H412" i="39"/>
  <c r="D674" i="39"/>
  <c r="F667" i="39"/>
  <c r="D637" i="39"/>
  <c r="E924" i="39"/>
  <c r="E640" i="39"/>
  <c r="E178" i="39"/>
  <c r="E395" i="39"/>
  <c r="F518" i="39"/>
  <c r="E125" i="39"/>
  <c r="G366" i="39"/>
  <c r="F138" i="39"/>
  <c r="F211" i="39"/>
  <c r="E126" i="39"/>
  <c r="G223" i="39"/>
  <c r="G514" i="39"/>
  <c r="D852" i="39"/>
  <c r="H450" i="39"/>
  <c r="H356" i="39"/>
  <c r="F151" i="39"/>
  <c r="G280" i="39"/>
  <c r="G123" i="39"/>
  <c r="F597" i="39"/>
  <c r="E992" i="39"/>
  <c r="I391" i="39"/>
  <c r="D1015" i="39"/>
  <c r="G824" i="39"/>
  <c r="G451" i="39"/>
  <c r="E757" i="39"/>
  <c r="T16" i="9"/>
  <c r="D935" i="39"/>
  <c r="E575" i="39"/>
  <c r="E830" i="39"/>
  <c r="C193" i="39"/>
  <c r="F432" i="39"/>
  <c r="H7" i="39"/>
  <c r="F453" i="39"/>
  <c r="F91" i="39"/>
  <c r="F366" i="39"/>
  <c r="I186" i="39"/>
  <c r="E345" i="39"/>
  <c r="H813" i="39"/>
  <c r="H137" i="39"/>
  <c r="E394" i="39"/>
  <c r="G136" i="39"/>
  <c r="C381" i="39"/>
  <c r="F527" i="39"/>
  <c r="G72" i="39"/>
  <c r="E882" i="39"/>
  <c r="E91" i="39"/>
  <c r="E84" i="39"/>
  <c r="F384" i="39"/>
  <c r="I107" i="39"/>
  <c r="H25" i="39"/>
  <c r="I283" i="39"/>
  <c r="G823" i="39"/>
  <c r="I132" i="39"/>
  <c r="E704" i="39"/>
  <c r="G679" i="39"/>
  <c r="E195" i="39"/>
  <c r="I627" i="39"/>
  <c r="I194" i="39"/>
  <c r="E998" i="39"/>
  <c r="H394" i="39"/>
  <c r="D478" i="39"/>
  <c r="C767" i="39"/>
  <c r="F976" i="39"/>
  <c r="G40" i="39"/>
  <c r="G371" i="39"/>
  <c r="G741" i="39"/>
  <c r="I881" i="39"/>
  <c r="E685" i="39"/>
  <c r="G87" i="39"/>
  <c r="C344" i="39"/>
  <c r="I761" i="39"/>
  <c r="D748" i="39"/>
  <c r="G422" i="39"/>
  <c r="E444" i="39"/>
  <c r="E669" i="39"/>
  <c r="I823" i="39"/>
  <c r="I327" i="39"/>
  <c r="F830" i="39"/>
  <c r="D221" i="39"/>
  <c r="F197" i="39"/>
  <c r="F249" i="39"/>
  <c r="D106" i="39"/>
  <c r="I29" i="39"/>
  <c r="F354" i="39"/>
  <c r="F669" i="39"/>
  <c r="D467" i="39"/>
  <c r="G92" i="39"/>
  <c r="I864" i="39"/>
  <c r="H278" i="39"/>
  <c r="I537" i="39"/>
  <c r="C12" i="39"/>
  <c r="G43" i="39"/>
  <c r="E33" i="39"/>
  <c r="C64" i="39"/>
  <c r="D342" i="39"/>
  <c r="E676" i="39"/>
  <c r="I580" i="39"/>
  <c r="D39" i="39"/>
  <c r="D911" i="39"/>
  <c r="D417" i="39"/>
  <c r="D676" i="39"/>
  <c r="D36" i="39"/>
  <c r="C117" i="39"/>
  <c r="D723" i="39"/>
  <c r="E793" i="39"/>
  <c r="D385" i="39"/>
  <c r="F358" i="39"/>
  <c r="F854" i="39"/>
  <c r="H111" i="39"/>
  <c r="H194" i="39"/>
  <c r="D573" i="39"/>
  <c r="I75" i="39"/>
  <c r="E699" i="39"/>
  <c r="D62" i="39"/>
  <c r="H196" i="39"/>
  <c r="D620" i="39"/>
  <c r="F656" i="39"/>
  <c r="E358" i="39"/>
  <c r="F65" i="39"/>
  <c r="D797" i="39"/>
  <c r="H782" i="39"/>
  <c r="E533" i="39"/>
  <c r="D186" i="39"/>
  <c r="E69" i="39"/>
  <c r="G987" i="39"/>
  <c r="H62" i="39"/>
  <c r="H419" i="39"/>
  <c r="C758" i="39"/>
  <c r="G749" i="39"/>
  <c r="G416" i="39"/>
  <c r="I749" i="39"/>
  <c r="H472" i="39"/>
  <c r="D264" i="39"/>
  <c r="F375" i="39"/>
  <c r="F817" i="39"/>
  <c r="I203" i="39"/>
  <c r="H536" i="39"/>
  <c r="C645" i="39"/>
  <c r="G392" i="39"/>
  <c r="F524" i="39"/>
  <c r="C789" i="39"/>
  <c r="G231" i="39"/>
  <c r="I254" i="39"/>
  <c r="E21" i="39"/>
  <c r="D63" i="39"/>
  <c r="H212" i="39"/>
  <c r="D640" i="39"/>
  <c r="E359" i="39"/>
  <c r="F690" i="39"/>
  <c r="H691" i="39"/>
  <c r="G397" i="39"/>
  <c r="I976" i="39"/>
  <c r="H477" i="39"/>
  <c r="F583" i="39"/>
  <c r="D476" i="39"/>
  <c r="D214" i="39"/>
  <c r="H648" i="39"/>
  <c r="E205" i="39"/>
  <c r="D134" i="39"/>
  <c r="H679" i="39"/>
  <c r="G314" i="39"/>
  <c r="F122" i="39"/>
  <c r="G319" i="39"/>
  <c r="D155" i="39"/>
  <c r="E710" i="39"/>
  <c r="F456" i="39"/>
  <c r="F9" i="39"/>
  <c r="D506" i="39"/>
  <c r="D189" i="39"/>
  <c r="G293" i="39"/>
  <c r="E952" i="39"/>
  <c r="G363" i="39"/>
  <c r="D336" i="39"/>
  <c r="I289" i="39"/>
  <c r="G1013" i="39"/>
  <c r="G897" i="39"/>
  <c r="D395" i="39"/>
  <c r="G357" i="39"/>
  <c r="H27" i="39"/>
  <c r="D10" i="39"/>
  <c r="F176" i="39"/>
  <c r="F288" i="39"/>
  <c r="H88" i="39"/>
  <c r="F934" i="39"/>
  <c r="D422" i="39"/>
  <c r="F332" i="39"/>
  <c r="E641" i="39"/>
  <c r="F1002" i="39"/>
  <c r="E600" i="39"/>
  <c r="I114" i="39"/>
  <c r="G91" i="39"/>
  <c r="C631" i="39"/>
  <c r="D324" i="39"/>
  <c r="I539" i="39"/>
  <c r="H495" i="39"/>
  <c r="H487" i="39"/>
  <c r="E113" i="39"/>
  <c r="I351" i="39"/>
  <c r="C109" i="39"/>
  <c r="E11" i="39"/>
  <c r="G434" i="39"/>
  <c r="I119" i="39"/>
  <c r="E588" i="39"/>
  <c r="G849" i="39"/>
  <c r="C373" i="39"/>
  <c r="I112" i="39"/>
  <c r="I210" i="39"/>
  <c r="G700" i="39"/>
  <c r="F853" i="39"/>
  <c r="I819" i="39"/>
  <c r="E42" i="39"/>
  <c r="G189" i="39"/>
  <c r="F100" i="39"/>
  <c r="G835" i="39"/>
  <c r="C305" i="39"/>
  <c r="F490" i="39"/>
  <c r="G339" i="39"/>
  <c r="F10" i="39"/>
  <c r="C310" i="39"/>
  <c r="I504" i="39"/>
  <c r="D856" i="39"/>
  <c r="G80" i="39"/>
  <c r="F1024" i="39"/>
  <c r="D931" i="39"/>
  <c r="G635" i="39"/>
  <c r="G55" i="39"/>
  <c r="F53" i="39"/>
  <c r="I911" i="39"/>
  <c r="D437" i="39"/>
  <c r="F560" i="39"/>
  <c r="E861" i="39"/>
  <c r="I619" i="39"/>
  <c r="D834" i="39"/>
  <c r="E436" i="39"/>
  <c r="G794" i="39"/>
  <c r="C430" i="39"/>
  <c r="H344" i="39"/>
  <c r="F251" i="39"/>
  <c r="F980" i="39"/>
  <c r="F403" i="39"/>
  <c r="E142" i="39"/>
  <c r="E788" i="39"/>
  <c r="H552" i="39"/>
  <c r="I776" i="39"/>
  <c r="G37" i="39"/>
  <c r="G421" i="39"/>
  <c r="C960" i="39"/>
  <c r="G313" i="39"/>
  <c r="H163" i="39"/>
  <c r="E482" i="39"/>
  <c r="I1008" i="39"/>
  <c r="I418" i="39"/>
  <c r="H974" i="39"/>
  <c r="C3" i="39"/>
  <c r="D21" i="39"/>
  <c r="H260" i="39"/>
  <c r="C315" i="39"/>
  <c r="G403" i="39"/>
  <c r="C659" i="39"/>
  <c r="F455" i="39"/>
  <c r="E62" i="39"/>
  <c r="H32" i="39"/>
  <c r="I31" i="39"/>
  <c r="H405" i="39"/>
  <c r="H18" i="39"/>
  <c r="H676" i="39"/>
  <c r="G76" i="39"/>
  <c r="C26" i="39"/>
  <c r="D70" i="39"/>
  <c r="D932" i="39"/>
  <c r="C261" i="39"/>
  <c r="I667" i="39"/>
  <c r="G243" i="39"/>
  <c r="G755" i="39"/>
  <c r="I516" i="39"/>
  <c r="G619" i="39"/>
  <c r="F270" i="39"/>
  <c r="D653" i="39"/>
  <c r="H539" i="39"/>
  <c r="E589" i="39"/>
  <c r="C933" i="39"/>
  <c r="H54" i="39"/>
  <c r="C398" i="39"/>
  <c r="D43" i="39"/>
  <c r="C602" i="39"/>
  <c r="H117" i="39"/>
  <c r="F397" i="39"/>
  <c r="F663" i="39"/>
  <c r="C369" i="39"/>
  <c r="E160" i="39"/>
  <c r="F58" i="39"/>
  <c r="F645" i="39"/>
  <c r="E705" i="39"/>
  <c r="D182" i="39"/>
  <c r="C135" i="39"/>
  <c r="Q22" i="9"/>
  <c r="F451" i="39"/>
  <c r="H854" i="39"/>
  <c r="E471" i="39"/>
  <c r="G289" i="39"/>
  <c r="I887" i="39"/>
  <c r="F396" i="39"/>
  <c r="I405" i="39"/>
  <c r="G680" i="39"/>
  <c r="E619" i="39"/>
  <c r="H896" i="39"/>
  <c r="C450" i="39"/>
  <c r="F102" i="39"/>
  <c r="E884" i="39"/>
  <c r="E792" i="39"/>
  <c r="G216" i="39"/>
  <c r="E827" i="39"/>
  <c r="G35" i="39"/>
  <c r="H26" i="39"/>
  <c r="G906" i="39"/>
  <c r="D297" i="39"/>
  <c r="H149" i="39"/>
  <c r="H703" i="39"/>
  <c r="G143" i="39"/>
  <c r="C462" i="39"/>
  <c r="C303" i="39"/>
  <c r="G850" i="39"/>
  <c r="E816" i="39"/>
  <c r="E486" i="39"/>
  <c r="I68" i="39"/>
  <c r="C209" i="39"/>
  <c r="G929" i="39"/>
  <c r="I792" i="39"/>
  <c r="H824" i="39"/>
  <c r="G172" i="39"/>
  <c r="C511" i="39"/>
  <c r="E675" i="39"/>
  <c r="D687" i="39"/>
  <c r="E281" i="39"/>
  <c r="H430" i="39"/>
  <c r="E219" i="39"/>
  <c r="G748" i="39"/>
  <c r="D44" i="39"/>
  <c r="G830" i="39"/>
  <c r="I647" i="39"/>
  <c r="E915" i="39"/>
  <c r="H82" i="39"/>
  <c r="F820" i="39"/>
  <c r="H189" i="39"/>
  <c r="H63" i="39"/>
  <c r="G61" i="39"/>
  <c r="D73" i="39"/>
  <c r="H952" i="39"/>
  <c r="H613" i="39"/>
  <c r="I310" i="39"/>
  <c r="I450" i="39"/>
  <c r="C778" i="39"/>
  <c r="G438" i="39"/>
  <c r="I160" i="39"/>
  <c r="F391" i="39"/>
  <c r="D408" i="39"/>
  <c r="C136" i="39"/>
  <c r="H110" i="39"/>
  <c r="C828" i="39"/>
  <c r="D686" i="39"/>
  <c r="I519" i="39"/>
  <c r="D316" i="39"/>
  <c r="F826" i="39"/>
  <c r="F347" i="39"/>
  <c r="I198" i="39"/>
  <c r="D238" i="39"/>
  <c r="I449" i="39"/>
  <c r="D255" i="39"/>
  <c r="G193" i="39"/>
  <c r="E119" i="39"/>
  <c r="I473" i="39"/>
  <c r="G60" i="39"/>
  <c r="I988" i="39"/>
  <c r="F30" i="39"/>
  <c r="F335" i="39"/>
  <c r="G318" i="39"/>
  <c r="H12" i="39"/>
  <c r="D865" i="39"/>
  <c r="C13" i="39"/>
  <c r="C67" i="39"/>
  <c r="C487" i="39"/>
  <c r="H69" i="39"/>
  <c r="G71" i="39"/>
  <c r="G99" i="39"/>
  <c r="E718" i="39"/>
  <c r="F629" i="39"/>
  <c r="F149" i="39"/>
  <c r="I471" i="39"/>
  <c r="I524" i="39"/>
  <c r="G56" i="39"/>
  <c r="D356" i="39"/>
  <c r="E364" i="39"/>
  <c r="I443" i="39"/>
  <c r="F937" i="39"/>
  <c r="E434" i="39"/>
  <c r="H72" i="39"/>
  <c r="H236" i="39"/>
  <c r="C970" i="39"/>
  <c r="H169" i="39"/>
  <c r="H126" i="39"/>
  <c r="D664" i="39"/>
  <c r="G656" i="39"/>
  <c r="I193" i="39"/>
  <c r="D366" i="39"/>
  <c r="D364" i="39"/>
  <c r="E954" i="39"/>
  <c r="D532" i="39"/>
  <c r="E15" i="39"/>
  <c r="E709" i="39"/>
  <c r="D986" i="39"/>
  <c r="C219" i="39"/>
  <c r="H683" i="39"/>
  <c r="C170" i="39"/>
  <c r="D726" i="39"/>
  <c r="G374" i="39"/>
  <c r="D161" i="39"/>
  <c r="F969" i="39"/>
  <c r="I164" i="39"/>
  <c r="I45" i="39"/>
  <c r="H8" i="39"/>
  <c r="H838" i="39"/>
  <c r="H152" i="39"/>
  <c r="C1016" i="39"/>
  <c r="E805" i="39"/>
  <c r="F683" i="39"/>
  <c r="D140" i="39"/>
  <c r="C243" i="39"/>
  <c r="F63" i="39"/>
  <c r="D53" i="39"/>
  <c r="E708" i="39"/>
  <c r="E903" i="39"/>
  <c r="D684" i="39"/>
  <c r="D223" i="39"/>
  <c r="I147" i="39"/>
  <c r="I685" i="39"/>
  <c r="H953" i="39"/>
  <c r="I635" i="39"/>
  <c r="I52" i="39"/>
  <c r="F294" i="39"/>
  <c r="H847" i="39"/>
  <c r="C795" i="39"/>
  <c r="C94" i="39"/>
  <c r="G458" i="39"/>
  <c r="H578" i="39"/>
  <c r="D76" i="39"/>
  <c r="D456" i="39"/>
  <c r="G598" i="39"/>
  <c r="H1007" i="39"/>
  <c r="E872" i="39"/>
  <c r="E313" i="39"/>
  <c r="I484" i="39"/>
  <c r="I221" i="39"/>
  <c r="F571" i="39"/>
  <c r="E50" i="39"/>
  <c r="D27" i="39"/>
  <c r="F23" i="39"/>
  <c r="I603" i="39"/>
  <c r="F373" i="39"/>
  <c r="H147" i="39"/>
  <c r="H33" i="39"/>
  <c r="C819" i="39"/>
  <c r="C419" i="39"/>
  <c r="D627" i="39"/>
  <c r="F429" i="39"/>
  <c r="E229" i="39"/>
  <c r="F553" i="39"/>
  <c r="H606" i="39"/>
  <c r="C225" i="39"/>
  <c r="I802" i="39"/>
  <c r="F86" i="39"/>
  <c r="C1013" i="39"/>
  <c r="G6" i="6"/>
  <c r="G10" i="8" s="1"/>
  <c r="D656" i="39"/>
  <c r="D667" i="39"/>
  <c r="H994" i="39"/>
  <c r="C371" i="39"/>
  <c r="C601" i="39"/>
  <c r="D590" i="39"/>
  <c r="F681" i="39"/>
  <c r="F599" i="39"/>
  <c r="H68" i="39"/>
  <c r="D231" i="39"/>
  <c r="H71" i="39"/>
  <c r="H964" i="39"/>
  <c r="E635" i="39"/>
  <c r="I614" i="39"/>
  <c r="C516" i="39"/>
  <c r="D435" i="39"/>
  <c r="I236" i="39"/>
  <c r="I492" i="39"/>
  <c r="C689" i="39"/>
  <c r="H3" i="39"/>
  <c r="F550" i="39"/>
  <c r="H913" i="39"/>
  <c r="I558" i="39"/>
  <c r="T30" i="9"/>
  <c r="E303" i="39"/>
  <c r="H188" i="39"/>
  <c r="G133" i="39"/>
  <c r="H868" i="39"/>
  <c r="H291" i="39"/>
  <c r="G386" i="39"/>
  <c r="F800" i="39"/>
  <c r="D40" i="39"/>
  <c r="F886" i="39"/>
  <c r="D430" i="39"/>
  <c r="D592" i="39"/>
  <c r="G78" i="39"/>
  <c r="H190" i="39"/>
  <c r="F320" i="39"/>
  <c r="D261" i="39"/>
  <c r="G574" i="39"/>
  <c r="C609" i="39"/>
  <c r="G105" i="39"/>
  <c r="F265" i="39"/>
  <c r="E492" i="39"/>
  <c r="C152" i="39"/>
  <c r="E302" i="39"/>
  <c r="I337" i="39"/>
  <c r="C536" i="39"/>
  <c r="F321" i="39"/>
  <c r="E463" i="39"/>
  <c r="E913" i="39"/>
  <c r="G423" i="39"/>
  <c r="C227" i="39"/>
  <c r="H208" i="39"/>
  <c r="F789" i="39"/>
  <c r="C17" i="39"/>
  <c r="I559" i="39"/>
  <c r="G935" i="39"/>
  <c r="D621" i="39"/>
  <c r="I517" i="39"/>
  <c r="H841" i="39"/>
  <c r="E279" i="39"/>
  <c r="I284" i="39"/>
  <c r="G218" i="39"/>
  <c r="I472" i="39"/>
  <c r="I964" i="39"/>
  <c r="C903" i="39"/>
  <c r="D77" i="39"/>
  <c r="G968" i="39"/>
  <c r="I739" i="39"/>
  <c r="H429" i="39"/>
  <c r="C924" i="39"/>
  <c r="I294" i="39"/>
  <c r="E819" i="39"/>
  <c r="E1016" i="39"/>
  <c r="F219" i="39"/>
  <c r="G321" i="39"/>
  <c r="H982" i="39"/>
  <c r="C61" i="39"/>
  <c r="D55" i="39"/>
  <c r="E555" i="39"/>
  <c r="D784" i="39"/>
  <c r="C759" i="39"/>
  <c r="I235" i="39"/>
  <c r="F188" i="39"/>
  <c r="C912" i="39"/>
  <c r="E777" i="39"/>
  <c r="H670" i="39"/>
  <c r="F414" i="39"/>
  <c r="I429" i="39"/>
  <c r="E391" i="39"/>
  <c r="H601" i="39"/>
  <c r="D260" i="39"/>
  <c r="E1017" i="39"/>
  <c r="L9" i="7" l="1"/>
  <c r="S27" i="9"/>
  <c r="O32" i="9"/>
  <c r="R37" i="9"/>
  <c r="E7" i="8"/>
  <c r="E8" i="8"/>
  <c r="E9" i="8"/>
  <c r="P37" i="9"/>
  <c r="L8" i="7"/>
  <c r="I34" i="7"/>
  <c r="I24" i="7"/>
  <c r="S37" i="9"/>
  <c r="Q27" i="9"/>
  <c r="H34" i="7"/>
  <c r="H24" i="7"/>
  <c r="J20" i="7"/>
  <c r="J10" i="7"/>
  <c r="Q37" i="9"/>
  <c r="I20" i="7"/>
  <c r="I10" i="7"/>
  <c r="O37" i="9"/>
  <c r="J34" i="7"/>
  <c r="J24" i="7"/>
  <c r="H20" i="7"/>
  <c r="H10" i="7"/>
  <c r="L22" i="7"/>
  <c r="O27" i="9"/>
  <c r="P32" i="9"/>
  <c r="T50" i="9"/>
  <c r="P27" i="9"/>
  <c r="K20" i="7"/>
  <c r="K10" i="7"/>
  <c r="L7" i="7"/>
  <c r="G20" i="7"/>
  <c r="G10" i="7"/>
  <c r="D8" i="8"/>
  <c r="D7" i="8"/>
  <c r="I6" i="8"/>
  <c r="D9" i="8"/>
  <c r="L23" i="7"/>
  <c r="T48" i="9"/>
  <c r="H8" i="8"/>
  <c r="H9" i="8"/>
  <c r="H7" i="8"/>
  <c r="T49" i="9"/>
  <c r="I6" i="6"/>
  <c r="T27" i="9"/>
  <c r="F9" i="8"/>
  <c r="F8" i="8"/>
  <c r="F7" i="8"/>
  <c r="R32" i="9"/>
  <c r="Q32" i="9"/>
  <c r="S32" i="9"/>
  <c r="R27" i="9"/>
  <c r="G24" i="7"/>
  <c r="L21" i="7"/>
  <c r="G34" i="7"/>
  <c r="G9" i="8"/>
  <c r="G7" i="8"/>
  <c r="G8" i="8"/>
  <c r="G11" i="8" s="1"/>
  <c r="T37" i="9"/>
  <c r="K24" i="7"/>
  <c r="K34" i="7"/>
  <c r="T32" i="9"/>
  <c r="I51" i="9"/>
  <c r="B51" i="9"/>
  <c r="L20" i="7" l="1"/>
  <c r="B32" i="9"/>
  <c r="F11" i="8"/>
  <c r="L34" i="7"/>
  <c r="K35" i="7"/>
  <c r="K40" i="7" s="1"/>
  <c r="V51" i="9"/>
  <c r="O51" i="9"/>
  <c r="S51" i="9"/>
  <c r="R51" i="9"/>
  <c r="Q51" i="9"/>
  <c r="P51" i="9"/>
  <c r="L24" i="7"/>
  <c r="I9" i="8"/>
  <c r="E11" i="8"/>
  <c r="I7" i="8"/>
  <c r="J35" i="7"/>
  <c r="J40" i="7" s="1"/>
  <c r="I8" i="8"/>
  <c r="D11" i="8"/>
  <c r="H35" i="7"/>
  <c r="H40" i="7" s="1"/>
  <c r="H11" i="8"/>
  <c r="B37" i="9"/>
  <c r="I35" i="7"/>
  <c r="I40" i="7" s="1"/>
  <c r="B27" i="9"/>
  <c r="L10" i="7"/>
  <c r="G35" i="7"/>
  <c r="T51" i="9" l="1"/>
  <c r="I11" i="8"/>
  <c r="G40" i="7"/>
  <c r="L40" i="7" s="1"/>
  <c r="L35" i="7"/>
  <c r="B52" i="9"/>
  <c r="I52" i="9"/>
  <c r="R52" i="9" l="1"/>
  <c r="P52" i="9"/>
  <c r="Q52" i="9"/>
  <c r="O52" i="9"/>
  <c r="S52" i="9"/>
  <c r="V52" i="9"/>
  <c r="M39" i="7"/>
  <c r="M37" i="7"/>
  <c r="M20" i="7"/>
  <c r="M34" i="7"/>
  <c r="T52" i="9" l="1"/>
  <c r="B53" i="9"/>
  <c r="I53" i="9"/>
  <c r="P53" i="9" l="1"/>
  <c r="P46" i="9" s="1"/>
  <c r="P47" i="9" s="1"/>
  <c r="S53" i="9"/>
  <c r="S46" i="9" s="1"/>
  <c r="S47" i="9" s="1"/>
  <c r="O53" i="9"/>
  <c r="Q53" i="9"/>
  <c r="Q46" i="9" s="1"/>
  <c r="Q47" i="9" s="1"/>
  <c r="R53" i="9"/>
  <c r="R46" i="9" s="1"/>
  <c r="R47" i="9" s="1"/>
  <c r="V53" i="9"/>
  <c r="T53" i="9" l="1"/>
  <c r="T46" i="9" s="1"/>
  <c r="T47" i="9" s="1"/>
  <c r="O46" i="9"/>
  <c r="O47" i="9" s="1"/>
  <c r="B47" i="9" s="1"/>
  <c r="I54" i="9"/>
  <c r="B54" i="9"/>
  <c r="V54" i="9" l="1"/>
  <c r="R54" i="9"/>
  <c r="P54" i="9"/>
  <c r="S54" i="9"/>
  <c r="O54" i="9"/>
  <c r="Q54" i="9"/>
  <c r="T54" i="9" l="1"/>
  <c r="B55" i="9"/>
  <c r="I55" i="9"/>
  <c r="S55" i="9" l="1"/>
  <c r="P55" i="9"/>
  <c r="O55" i="9"/>
  <c r="Q55" i="9"/>
  <c r="R55" i="9"/>
  <c r="V55" i="9"/>
  <c r="T55" i="9" l="1"/>
  <c r="I56" i="9"/>
  <c r="B56" i="9"/>
  <c r="V56" i="9" l="1"/>
  <c r="P56" i="9"/>
  <c r="R56" i="9"/>
  <c r="S56" i="9"/>
  <c r="O56" i="9"/>
  <c r="Q56" i="9"/>
  <c r="T56" i="9" l="1"/>
  <c r="I57" i="9"/>
  <c r="B57" i="9"/>
  <c r="V57" i="9" l="1"/>
  <c r="R57" i="9"/>
  <c r="P57" i="9"/>
  <c r="S57" i="9"/>
  <c r="Q57" i="9"/>
  <c r="O57" i="9"/>
  <c r="T57" i="9" l="1"/>
  <c r="I58" i="9"/>
  <c r="B58" i="9"/>
  <c r="V58" i="9" l="1"/>
  <c r="R58" i="9"/>
  <c r="O58" i="9"/>
  <c r="S58" i="9"/>
  <c r="P58" i="9"/>
  <c r="Q58" i="9"/>
  <c r="T58" i="9" l="1"/>
  <c r="B59" i="9"/>
  <c r="I59" i="9"/>
  <c r="O59" i="9" l="1"/>
  <c r="S59" i="9"/>
  <c r="R59" i="9"/>
  <c r="P59" i="9"/>
  <c r="Q59" i="9"/>
  <c r="V59" i="9"/>
  <c r="T59" i="9" l="1"/>
  <c r="B60" i="9"/>
  <c r="I60" i="9"/>
  <c r="R60" i="9" l="1"/>
  <c r="Q60" i="9"/>
  <c r="S60" i="9"/>
  <c r="O60" i="9"/>
  <c r="P60" i="9"/>
  <c r="V60" i="9"/>
  <c r="B61" i="9"/>
  <c r="I61" i="9"/>
  <c r="T60" i="9" l="1"/>
  <c r="O61" i="9"/>
  <c r="S61" i="9"/>
  <c r="P61" i="9"/>
  <c r="R61" i="9"/>
  <c r="Q61" i="9"/>
  <c r="V61" i="9"/>
  <c r="T61" i="9" l="1"/>
  <c r="I62" i="9"/>
  <c r="B62" i="9"/>
  <c r="V62" i="9" l="1"/>
  <c r="R62" i="9"/>
  <c r="S62" i="9"/>
  <c r="O62" i="9"/>
  <c r="P62" i="9"/>
  <c r="Q62" i="9"/>
  <c r="T62" i="9" l="1"/>
  <c r="I63" i="9"/>
  <c r="B63" i="9"/>
  <c r="V63" i="9" l="1"/>
  <c r="Q63" i="9"/>
  <c r="P63" i="9"/>
  <c r="O63" i="9"/>
  <c r="R63" i="9"/>
  <c r="S63" i="9"/>
  <c r="T63" i="9" l="1"/>
  <c r="I64" i="9"/>
  <c r="B64" i="9"/>
  <c r="V64" i="9" l="1"/>
  <c r="S64" i="9"/>
  <c r="R64" i="9"/>
  <c r="P64" i="9"/>
  <c r="Q64" i="9"/>
  <c r="O64" i="9"/>
  <c r="T64" i="9" l="1"/>
  <c r="I65" i="9"/>
  <c r="B65" i="9"/>
  <c r="V65" i="9" l="1"/>
  <c r="P65" i="9"/>
  <c r="O65" i="9"/>
  <c r="Q65" i="9"/>
  <c r="R65" i="9"/>
  <c r="S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<sst xmlns="http://schemas.openxmlformats.org/spreadsheetml/2006/main" count="22815" uniqueCount="2769">
  <si>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</si>
  <si>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</si>
  <si>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</si>
  <si>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</si>
  <si>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</si>
  <si>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</si>
  <si>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</si>
  <si>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</si>
  <si>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</si>
  <si>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</si>
  <si>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</si>
  <si>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</si>
  <si>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</si>
  <si>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</si>
  <si>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</si>
  <si>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</si>
  <si>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</si>
  <si>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</si>
  <si>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</si>
  <si>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</si>
  <si>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</si>
  <si>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</si>
  <si>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</si>
  <si>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</si>
  <si>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</si>
  <si>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</si>
  <si>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</si>
  <si>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</si>
  <si>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</si>
  <si>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</si>
  <si>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</si>
  <si>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</si>
  <si>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</si>
  <si>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</si>
  <si>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</si>
  <si>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</si>
  <si>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</si>
  <si>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</si>
  <si>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</si>
  <si>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</si>
  <si>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</si>
  <si>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</si>
  <si>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</si>
  <si>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</si>
  <si>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</si>
  <si>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</si>
  <si>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</si>
  <si>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</si>
  <si>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</si>
  <si>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</si>
  <si>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</si>
  <si>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</si>
  <si>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</si>
  <si>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</si>
  <si>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</si>
  <si>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</si>
  <si>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</si>
  <si>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</si>
  <si>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</si>
  <si>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</si>
  <si>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</si>
  <si>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</si>
  <si>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</si>
  <si>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</si>
  <si>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</si>
  <si>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</si>
  <si>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</si>
  <si>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</si>
  <si>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</si>
  <si>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</si>
  <si>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</si>
  <si>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</si>
  <si>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</si>
  <si>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</si>
  <si>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</si>
  <si>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</si>
  <si>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</si>
  <si>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</si>
  <si>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</si>
  <si>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</si>
  <si>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</si>
  <si>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</si>
  <si>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</si>
  <si>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</si>
  <si>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</si>
  <si>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</si>
  <si>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</si>
  <si>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</si>
  <si>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</si>
  <si>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</si>
  <si>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</si>
  <si>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</si>
  <si>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</si>
  <si>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</si>
  <si>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</si>
  <si>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</si>
  <si>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</si>
  <si>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</si>
  <si>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</si>
  <si>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</si>
  <si>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</si>
  <si>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</si>
  <si>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</si>
  <si>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</si>
  <si>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</si>
  <si>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</si>
  <si>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</si>
  <si>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</si>
  <si>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</si>
  <si>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</si>
  <si>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</si>
  <si>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</si>
  <si>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</si>
  <si>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</si>
  <si>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</si>
  <si>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</si>
  <si>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</si>
  <si>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</si>
  <si>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</si>
  <si>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</si>
  <si>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</si>
  <si>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</si>
  <si>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</si>
  <si>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</si>
  <si>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</si>
  <si>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</si>
  <si>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</si>
  <si>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</si>
  <si>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</si>
  <si>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</si>
  <si>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</si>
  <si>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</si>
  <si>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</si>
  <si>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</si>
  <si>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</si>
  <si>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</si>
  <si>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</si>
  <si>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</si>
  <si>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</si>
  <si>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</si>
  <si>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</si>
  <si>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</si>
  <si>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</si>
  <si>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</si>
  <si>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</si>
  <si>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</si>
  <si>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</si>
  <si>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</si>
  <si>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</si>
  <si>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</si>
  <si>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</si>
  <si>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</si>
  <si>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</si>
  <si>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</si>
  <si>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</si>
  <si>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</si>
  <si>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</si>
  <si>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</si>
  <si>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</si>
  <si>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</si>
  <si>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</si>
  <si>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</si>
  <si>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</si>
  <si>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</si>
  <si>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</si>
  <si>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</si>
  <si>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</si>
  <si>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</si>
  <si>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</si>
  <si>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</si>
  <si>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</si>
  <si>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</si>
  <si>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</si>
  <si>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</si>
  <si>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</si>
  <si>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</si>
  <si>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</si>
  <si>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</si>
  <si>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</si>
  <si>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</si>
  <si>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</si>
  <si>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</si>
  <si>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</si>
  <si>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</si>
  <si>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</si>
  <si>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</si>
  <si>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</si>
  <si>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</si>
  <si>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</si>
  <si>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</si>
  <si>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</si>
  <si>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</si>
  <si>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</si>
  <si>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</si>
  <si>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</si>
  <si>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</si>
  <si>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</si>
  <si>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</si>
  <si>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</si>
  <si>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</si>
  <si>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</si>
  <si>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</si>
  <si>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</si>
  <si>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</si>
  <si>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</si>
  <si>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</si>
  <si>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</si>
  <si>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</si>
  <si>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</si>
  <si>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</si>
  <si>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</si>
  <si>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</si>
  <si>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</si>
  <si>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</si>
  <si>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</si>
  <si>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</si>
  <si>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</si>
  <si>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</si>
  <si>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</si>
  <si>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</si>
  <si>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</si>
  <si>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</si>
  <si>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</si>
  <si>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</si>
  <si>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</si>
  <si>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</si>
  <si>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</si>
  <si>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</si>
  <si>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</si>
  <si>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</si>
  <si>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</si>
  <si>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</si>
  <si>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</si>
  <si>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</si>
  <si>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</si>
  <si>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</si>
  <si>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</si>
  <si>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</si>
  <si>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</si>
  <si>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</si>
  <si>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</si>
  <si>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</si>
  <si>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</si>
  <si>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</si>
  <si>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</si>
  <si>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</si>
  <si>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</si>
  <si>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</si>
  <si>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</si>
  <si>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</si>
  <si>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</si>
  <si>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</si>
  <si>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</si>
  <si>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</si>
  <si>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</si>
  <si>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</si>
  <si>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</si>
  <si>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</si>
  <si>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</si>
  <si>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</si>
  <si>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</si>
  <si>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</si>
  <si>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</si>
  <si>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</si>
  <si>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</si>
  <si>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</si>
  <si>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</si>
  <si>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</si>
  <si>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</si>
  <si>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</si>
  <si>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</si>
  <si>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</si>
  <si>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</si>
  <si>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</si>
  <si>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</si>
  <si>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</si>
  <si>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</si>
  <si>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</si>
  <si>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</si>
  <si>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</si>
  <si>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</si>
  <si>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</si>
  <si>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</si>
  <si>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</si>
  <si>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</si>
  <si>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</si>
  <si>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</si>
  <si>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</si>
  <si>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</si>
  <si>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</si>
  <si>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</si>
  <si>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</si>
  <si>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</si>
  <si>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</si>
  <si>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</si>
  <si>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</si>
  <si>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</si>
  <si>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</si>
  <si>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</si>
  <si>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</si>
  <si>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</si>
  <si>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</si>
  <si>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</si>
  <si>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</si>
  <si>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</si>
  <si>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</si>
  <si>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</si>
  <si>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</si>
  <si>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</si>
  <si>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</si>
  <si>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</si>
  <si>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</si>
  <si>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</si>
  <si>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</si>
  <si>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</si>
  <si>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</si>
  <si>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</si>
  <si>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</si>
  <si>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</si>
  <si>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</si>
  <si>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</si>
  <si>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</si>
  <si>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</si>
  <si>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</si>
  <si>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</si>
  <si>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</si>
  <si>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</si>
  <si>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</si>
  <si>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</si>
  <si>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</si>
  <si>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</si>
  <si>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</si>
  <si>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</si>
  <si>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</si>
  <si>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</si>
  <si>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</si>
  <si>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</si>
  <si>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</si>
  <si>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</si>
  <si>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</si>
  <si>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</si>
  <si>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</si>
  <si>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</si>
  <si>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</si>
  <si>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</si>
  <si>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</si>
  <si>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</si>
  <si>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</si>
  <si>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</si>
  <si>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</si>
  <si>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</si>
  <si>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</si>
  <si>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</si>
  <si>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</si>
  <si>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</si>
  <si>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</si>
  <si>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</si>
  <si>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</si>
  <si>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</si>
  <si>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</si>
  <si>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</si>
  <si>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</si>
  <si>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</si>
  <si>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</si>
  <si>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</si>
  <si>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</si>
  <si>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</si>
  <si>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</si>
  <si>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</si>
  <si>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</si>
  <si>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</si>
  <si>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</si>
  <si>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</si>
  <si>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</si>
  <si>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</si>
  <si>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</si>
  <si>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</si>
  <si>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</si>
  <si>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</si>
  <si>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</si>
  <si>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</si>
  <si>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</si>
  <si>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</si>
  <si>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</si>
  <si>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</si>
  <si>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</si>
  <si>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</si>
  <si>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</si>
  <si>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</si>
  <si>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</si>
  <si>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</si>
  <si>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</si>
  <si>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</si>
  <si>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</si>
  <si>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</si>
  <si>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</si>
  <si>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</si>
  <si>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</si>
  <si>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</si>
  <si>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</si>
  <si>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</si>
  <si>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</si>
  <si>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</si>
  <si>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</si>
  <si>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</si>
  <si>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</si>
  <si>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</si>
  <si>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</si>
  <si>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</si>
  <si>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</si>
  <si>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</si>
  <si>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</si>
  <si>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</si>
  <si>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</si>
  <si>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</si>
  <si>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</si>
  <si>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</si>
  <si>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</si>
  <si>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</si>
  <si>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</si>
  <si>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</si>
  <si>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</si>
  <si>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</si>
  <si>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</si>
  <si>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</si>
  <si>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</si>
  <si>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</si>
  <si>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</si>
  <si>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</si>
  <si>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</si>
  <si>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</si>
  <si>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</si>
  <si>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</si>
  <si>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</si>
  <si>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</si>
  <si>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</si>
  <si>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</si>
  <si>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</si>
  <si>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</si>
  <si>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</si>
  <si>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</si>
  <si>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</si>
  <si>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</si>
  <si>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</si>
  <si>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</si>
  <si>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</si>
  <si>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</si>
  <si>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</si>
  <si>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</si>
  <si>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</si>
  <si>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</si>
  <si>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</si>
  <si>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</si>
  <si>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</si>
  <si>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</si>
  <si>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</si>
  <si>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</si>
  <si>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</si>
  <si>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</si>
  <si>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</si>
  <si>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</si>
  <si>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</si>
  <si>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</si>
  <si>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</si>
  <si>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</si>
  <si>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</si>
  <si>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</si>
  <si>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</si>
  <si>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</si>
  <si>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</si>
  <si>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</si>
  <si>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</si>
  <si>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</si>
  <si>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</si>
  <si>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</si>
  <si>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</si>
  <si>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</si>
  <si>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</si>
  <si>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</si>
  <si>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</si>
  <si>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</si>
  <si>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</si>
  <si>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</si>
  <si>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</si>
  <si>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</si>
  <si>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</si>
  <si>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</si>
  <si>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</si>
  <si>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</si>
  <si>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</si>
  <si>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</si>
  <si>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</si>
  <si>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</si>
  <si>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</si>
  <si>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</si>
  <si>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</si>
  <si>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</si>
  <si>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</si>
  <si>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</si>
  <si>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</si>
  <si>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</si>
  <si>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</si>
  <si>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</si>
  <si>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</si>
  <si>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</si>
  <si>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</si>
  <si>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</si>
  <si>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</si>
  <si>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</si>
  <si>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</si>
  <si>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</si>
  <si>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</si>
  <si>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</si>
  <si>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</si>
  <si>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</si>
  <si>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</si>
  <si>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</si>
  <si>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</si>
  <si>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</si>
  <si>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</si>
  <si>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</si>
  <si>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</si>
  <si>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</si>
  <si>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</si>
  <si>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</si>
  <si>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</si>
  <si>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</si>
  <si>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</si>
  <si>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</si>
  <si>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</si>
  <si>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</si>
  <si>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</si>
  <si>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</si>
  <si>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</si>
  <si>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</si>
  <si>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</si>
  <si>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</si>
  <si>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</si>
  <si>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</si>
  <si>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</si>
  <si>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</si>
  <si>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</si>
  <si>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</si>
  <si>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</si>
  <si>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</si>
  <si>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</si>
  <si>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</si>
  <si>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</si>
  <si>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</si>
  <si>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</si>
  <si>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</si>
  <si>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</si>
  <si>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</si>
  <si>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</si>
  <si>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</si>
  <si>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</si>
  <si>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</si>
  <si>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</si>
  <si>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</si>
  <si>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</si>
  <si>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</si>
  <si>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</si>
  <si>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</si>
  <si>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</si>
  <si>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</si>
  <si>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</si>
  <si>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</si>
  <si>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</si>
  <si>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</si>
  <si>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</si>
  <si>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</si>
  <si>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</si>
  <si>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</si>
  <si>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</si>
  <si>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</si>
  <si>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</si>
  <si>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</si>
  <si>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</si>
  <si>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</si>
  <si>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</si>
  <si>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</si>
  <si>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</si>
  <si>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</si>
  <si>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</si>
  <si>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</si>
  <si>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</si>
  <si>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</si>
  <si>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</si>
  <si>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</si>
  <si>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</si>
  <si>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</si>
  <si>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</si>
  <si>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</si>
  <si>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</si>
  <si>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</si>
  <si>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</si>
  <si>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</si>
  <si>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</si>
  <si>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</si>
  <si>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</si>
  <si>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</si>
  <si>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</si>
  <si>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</si>
  <si>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</si>
  <si>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</si>
  <si>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</si>
  <si>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</si>
  <si>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</si>
  <si>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</si>
  <si>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</si>
  <si>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</si>
  <si>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</si>
  <si>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</si>
  <si>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</si>
  <si>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</si>
  <si>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</si>
  <si>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</si>
  <si>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</si>
  <si>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</si>
  <si>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</si>
  <si>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</si>
  <si>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</si>
  <si>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</si>
  <si>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</si>
  <si>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</si>
  <si>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</si>
  <si>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</si>
  <si>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</si>
  <si>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</si>
  <si>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</si>
  <si>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</si>
  <si>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</si>
  <si>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</si>
  <si>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</si>
  <si>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</si>
  <si>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</si>
  <si>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</si>
  <si>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</si>
  <si>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</si>
  <si>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</si>
  <si>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</si>
  <si>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</si>
  <si>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</si>
  <si>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</si>
  <si>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</si>
  <si>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</si>
  <si>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</si>
  <si>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</si>
  <si>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</si>
  <si>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</si>
  <si>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</si>
  <si>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</si>
  <si>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</si>
  <si>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</si>
  <si>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</si>
  <si>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</si>
  <si>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</si>
  <si>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</si>
  <si>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</si>
  <si>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</si>
  <si>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</si>
  <si>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</si>
  <si>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</si>
  <si>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</si>
  <si>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</si>
  <si>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</si>
  <si>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</si>
  <si>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</si>
  <si>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</si>
  <si>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</si>
  <si>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</si>
  <si>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</si>
  <si>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</si>
  <si>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</si>
  <si>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</si>
  <si>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</si>
  <si>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</si>
  <si>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</si>
  <si>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</si>
  <si>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</si>
  <si>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</si>
  <si>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</si>
  <si>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</si>
  <si>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</si>
  <si>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</si>
  <si>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</si>
  <si>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</si>
  <si>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</si>
  <si>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</si>
  <si>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</si>
  <si>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</si>
  <si>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</si>
  <si>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</si>
  <si>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</si>
  <si>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</si>
  <si>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</si>
  <si>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</si>
  <si>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</si>
  <si>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</si>
  <si>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</si>
  <si>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</si>
  <si>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</si>
  <si>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</si>
  <si>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</si>
  <si>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</si>
  <si>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</si>
  <si>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</si>
  <si>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</si>
  <si>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</si>
  <si>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</si>
  <si>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</si>
  <si>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</si>
  <si>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</si>
  <si>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</si>
  <si>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</si>
  <si>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</si>
  <si>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</si>
  <si>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</si>
  <si>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</si>
  <si>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</si>
  <si>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</si>
  <si>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</si>
  <si>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</si>
  <si>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</si>
  <si>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</si>
  <si>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</si>
  <si>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</si>
  <si>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</si>
  <si>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</si>
  <si>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</si>
  <si>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</si>
  <si>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</si>
  <si>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</si>
  <si>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</si>
  <si>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</si>
  <si>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</si>
  <si>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</si>
  <si>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</si>
  <si>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</si>
  <si>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</si>
  <si>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</si>
  <si>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</si>
  <si>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</si>
  <si>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</si>
  <si>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</si>
  <si>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</si>
  <si>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</si>
  <si>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</si>
  <si>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</si>
  <si>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</si>
  <si>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</si>
  <si>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</si>
  <si>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</si>
  <si>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</si>
  <si>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</si>
  <si>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</si>
  <si>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</si>
  <si>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</si>
  <si>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</si>
  <si>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</si>
  <si>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</si>
  <si>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</si>
  <si>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</si>
  <si>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</si>
  <si>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</si>
  <si>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</si>
  <si>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</si>
  <si>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</si>
  <si>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</si>
  <si>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</si>
  <si>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</si>
  <si>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</si>
  <si>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</si>
  <si>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</si>
  <si>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</si>
  <si>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</si>
  <si>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</si>
  <si>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</si>
  <si>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</si>
  <si>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</si>
  <si>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</si>
  <si>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</si>
  <si>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</si>
  <si>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</si>
  <si>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</si>
  <si>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</si>
  <si>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</si>
  <si>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</si>
  <si>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</si>
  <si>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</si>
  <si>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</si>
  <si>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</si>
  <si>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</si>
  <si>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</si>
  <si>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</si>
  <si>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</si>
  <si>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</si>
  <si>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</si>
  <si>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</si>
  <si>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</si>
  <si>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</si>
  <si>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</si>
  <si>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</si>
  <si>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</si>
  <si>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</si>
  <si>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</si>
  <si>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</si>
  <si>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</si>
  <si>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</si>
  <si>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</si>
  <si>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</si>
  <si>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</si>
  <si>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</si>
  <si>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</si>
  <si>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</si>
  <si>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</si>
  <si>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</si>
  <si>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</si>
  <si>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</si>
  <si>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</si>
  <si>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</si>
  <si>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</si>
  <si>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</si>
  <si>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</si>
  <si>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</si>
  <si>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</si>
  <si>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</si>
  <si>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</si>
  <si>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</si>
  <si>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</si>
  <si>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</si>
  <si>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</si>
  <si>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</si>
  <si>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</si>
  <si>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</si>
  <si>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</si>
  <si>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</si>
  <si>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</si>
  <si>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</si>
  <si>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</si>
  <si>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</si>
  <si>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</si>
  <si>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</si>
  <si>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</si>
  <si>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Oxfam Sol</t>
  </si>
  <si>
    <t>no</t>
  </si>
  <si>
    <t>No</t>
  </si>
  <si>
    <t>admin</t>
  </si>
  <si>
    <t>onmogelijk1</t>
  </si>
  <si>
    <t>Geen AK mogelijk</t>
  </si>
  <si>
    <t>CA impossible</t>
  </si>
  <si>
    <t>geo</t>
  </si>
  <si>
    <t>Yes</t>
  </si>
  <si>
    <t>struct</t>
  </si>
  <si>
    <t>onmogelijk2</t>
  </si>
  <si>
    <t>themat</t>
  </si>
  <si>
    <t>Fighting with women against inequalities and for socioeconomic justice in food systems</t>
  </si>
  <si>
    <t>oui</t>
  </si>
  <si>
    <t>De regio's ("R") staan helemaal onderaan in de lijst.</t>
  </si>
  <si>
    <t>IATI Act ID</t>
  </si>
  <si>
    <t>IATI Act ID override</t>
  </si>
  <si>
    <t>Les régions ("R-") se trouvent tout en bas de la liste.</t>
  </si>
  <si>
    <t>Tegen 2026 mobiliseren meer burgers zich tegen ongelijkheid en voor economische rechtvaardigheid</t>
  </si>
  <si>
    <t>BELGIUM</t>
  </si>
  <si>
    <t>BE-BCE_KBO-0408643875-prog2022_BEL_commun_OS1</t>
  </si>
  <si>
    <t>Plaider pour une économie juste, durable, inclusive et transformatrice en genre</t>
  </si>
  <si>
    <t>BE-BCE_KBO-0408643875-prog2022_BEL_commun_OS2</t>
  </si>
  <si>
    <t>Autonomisation et résilience des femmes et des jeunes dans les chaînes de valeur lait et riz au BKF</t>
  </si>
  <si>
    <t>BURKINA FASO</t>
  </si>
  <si>
    <t>BE-BCE_KBO-0408643875-prog2022_commun_BKF</t>
  </si>
  <si>
    <t>Amélioration de la sécurité alimentaire, des moyens d’existence et de la résilience des femmes</t>
  </si>
  <si>
    <t>MALI REP</t>
  </si>
  <si>
    <t>BE-BCE_KBO-0408643875-prog2022_commun_MLI</t>
  </si>
  <si>
    <t>Autonomisation et résilience des femmes et des jeunes dans les filières agrosylvopastorales au Niger</t>
  </si>
  <si>
    <t>NIGER REP</t>
  </si>
  <si>
    <t>BE-BCE_KBO-0408643875-Prog2022_commun_NER</t>
  </si>
  <si>
    <t>Women, youth and other SSPs increase benefits in the fresh vegetables value chain as change agents</t>
  </si>
  <si>
    <t>PALESTINE</t>
  </si>
  <si>
    <t>BE-BCE_KBO-0408643875-Prog2022_commun_PAL</t>
  </si>
  <si>
    <t>Renforcer la sécurité alimentaire et les moyens d’existence des (jeunes) femmes au Sud et Nord Kivu</t>
  </si>
  <si>
    <t>CONGO (DEMOCRATIC REP.)</t>
  </si>
  <si>
    <t>BE-BCE_KBO-0408643875-Prog2022_commun_RDC</t>
  </si>
  <si>
    <t>Improved social protection and labour rights for women workers in ASEAN’s agri-food sector</t>
  </si>
  <si>
    <t>R - ASIA - FAR EAST AREA</t>
  </si>
  <si>
    <t>BE-BCE_KBO-0408643875-Prog2022_commun_ASE</t>
  </si>
  <si>
    <t>ja</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</si>
  <si>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</si>
  <si>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</si>
  <si>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</si>
  <si>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</si>
  <si>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</si>
  <si>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</si>
  <si>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</si>
  <si>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</si>
  <si>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</si>
  <si>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</si>
  <si>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</si>
  <si>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</si>
  <si>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</si>
  <si>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</si>
  <si>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</si>
  <si>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CAMBODIA</t>
  </si>
  <si>
    <t>LAOS</t>
  </si>
  <si>
    <t>VIETNAM</t>
  </si>
  <si>
    <t>Global/UNI</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</si>
  <si>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</si>
  <si>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</si>
  <si>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</si>
  <si>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</si>
  <si>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</si>
  <si>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</si>
  <si>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</si>
  <si>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</si>
  <si>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</si>
  <si>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</si>
  <si>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</si>
  <si>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</si>
  <si>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</si>
  <si>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</si>
  <si>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</si>
  <si>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</si>
  <si>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</si>
  <si>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</si>
  <si>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</si>
  <si>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</si>
  <si>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</si>
  <si>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</si>
  <si>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</si>
  <si>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</si>
  <si>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</si>
  <si>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</si>
  <si>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</si>
  <si>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</si>
  <si>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</si>
  <si>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</si>
  <si>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</si>
  <si>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</si>
  <si>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</si>
  <si>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</si>
  <si>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</si>
  <si>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</si>
  <si>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</si>
  <si>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</si>
  <si>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</si>
  <si>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</si>
  <si>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</si>
  <si>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</si>
  <si>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</si>
  <si>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</si>
  <si>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</si>
  <si>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</si>
  <si>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</si>
  <si>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</si>
  <si>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</si>
  <si>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</si>
  <si>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</si>
  <si>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</si>
  <si>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</si>
  <si>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</si>
  <si>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</si>
  <si>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</si>
  <si>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</si>
  <si>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</si>
  <si>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</si>
  <si>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</si>
  <si>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</si>
  <si>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</si>
  <si>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</si>
  <si>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</si>
  <si>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</si>
  <si>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</si>
  <si>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</si>
  <si>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</si>
  <si>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</si>
  <si>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</si>
  <si>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</si>
  <si>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</si>
  <si>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</si>
  <si>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</si>
  <si>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</si>
  <si>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</si>
  <si>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</si>
  <si>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</si>
  <si>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</si>
  <si>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</si>
  <si>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</si>
  <si>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</si>
  <si>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</si>
  <si>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</si>
  <si>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</si>
  <si>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</si>
  <si>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</si>
  <si>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</si>
  <si>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</si>
  <si>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</si>
  <si>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</si>
  <si>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</si>
  <si>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</si>
  <si>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</si>
  <si>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</si>
  <si>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</si>
  <si>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</si>
  <si>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</si>
  <si>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</si>
  <si>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</si>
  <si>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</si>
  <si>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</si>
  <si>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</si>
  <si>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</si>
  <si>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</si>
  <si>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</si>
  <si>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</si>
  <si>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</si>
  <si>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</si>
  <si>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</si>
  <si>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</si>
  <si>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</si>
  <si>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</si>
  <si>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</si>
  <si>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</si>
  <si>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</si>
  <si>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</si>
  <si>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</si>
  <si>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</si>
  <si>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</si>
  <si>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</si>
  <si>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</si>
  <si>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</si>
  <si>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</si>
  <si>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</si>
  <si>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</si>
  <si>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</si>
  <si>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</si>
  <si>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</si>
  <si>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</si>
  <si>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</si>
  <si>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</si>
  <si>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</si>
  <si>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</si>
  <si>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</si>
  <si>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</si>
  <si>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</si>
  <si>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</si>
  <si>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</si>
  <si>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</si>
  <si>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</si>
  <si>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</si>
  <si>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</si>
  <si>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</si>
  <si>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</si>
  <si>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</si>
  <si>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</si>
  <si>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</si>
  <si>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</si>
  <si>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</si>
  <si>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</si>
  <si>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</si>
  <si>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</si>
  <si>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</si>
  <si>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</si>
  <si>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</si>
  <si>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</si>
  <si>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</si>
  <si>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</si>
  <si>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</si>
  <si>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</si>
  <si>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</si>
  <si>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</si>
  <si>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</si>
  <si>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</si>
  <si>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</si>
  <si>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</si>
  <si>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</si>
  <si>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</si>
  <si>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</si>
  <si>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</si>
  <si>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</si>
  <si>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</si>
  <si>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</si>
  <si>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</si>
  <si>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</si>
  <si>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</si>
  <si>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</si>
  <si>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</si>
  <si>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</si>
  <si>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</si>
  <si>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</si>
  <si>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</si>
  <si>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</si>
  <si>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</si>
  <si>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</si>
  <si>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</si>
  <si>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</si>
  <si>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</si>
  <si>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</si>
  <si>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</si>
  <si>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</si>
  <si>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</si>
  <si>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</si>
  <si>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</si>
  <si>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</si>
  <si>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</si>
  <si>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</si>
  <si>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</si>
  <si>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</si>
  <si>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</si>
  <si>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</si>
  <si>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</si>
  <si>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</si>
  <si>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</si>
  <si>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</si>
  <si>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</si>
  <si>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</si>
  <si>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</si>
  <si>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</si>
  <si>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</si>
  <si>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</si>
  <si>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</si>
  <si>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</si>
  <si>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</si>
  <si>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</si>
  <si>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</si>
  <si>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</si>
  <si>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</si>
  <si>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</si>
  <si>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</si>
  <si>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</si>
  <si>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</si>
  <si>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</si>
  <si>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</si>
  <si>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</si>
  <si>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</si>
  <si>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</si>
  <si>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</si>
  <si>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</si>
  <si>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</si>
  <si>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</si>
  <si>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</si>
  <si>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</si>
  <si>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</si>
  <si>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</si>
  <si>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</si>
  <si>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</si>
  <si>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</si>
  <si>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</si>
  <si>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</si>
  <si>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</si>
  <si>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</si>
  <si>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</si>
  <si>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</si>
  <si>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</si>
  <si>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</si>
  <si>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</si>
  <si>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</si>
  <si>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</si>
  <si>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</si>
  <si>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</si>
  <si>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</si>
  <si>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</si>
  <si>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</si>
  <si>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</si>
  <si>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</si>
  <si>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</si>
  <si>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</si>
  <si>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</si>
  <si>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</si>
  <si>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</si>
  <si>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</si>
  <si>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</si>
  <si>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</si>
  <si>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</si>
  <si>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</si>
  <si>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</si>
  <si>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</si>
  <si>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</si>
  <si>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</si>
  <si>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</si>
  <si>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</si>
  <si>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</si>
  <si>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</si>
  <si>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</si>
  <si>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</si>
  <si>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</si>
  <si>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</si>
  <si>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</si>
  <si>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</si>
  <si>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</si>
  <si>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</si>
  <si>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</si>
  <si>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</si>
  <si>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</si>
  <si>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</si>
  <si>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</si>
  <si>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</si>
  <si>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</si>
  <si>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</si>
  <si>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</si>
  <si>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</si>
  <si>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</si>
  <si>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</si>
  <si>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</si>
  <si>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</si>
  <si>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</si>
  <si>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</si>
  <si>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</si>
  <si>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</si>
  <si>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</si>
  <si>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</si>
  <si>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</si>
  <si>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</si>
  <si>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</si>
  <si>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</si>
  <si>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</si>
  <si>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</si>
  <si>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</si>
  <si>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</si>
  <si>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</si>
  <si>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</si>
  <si>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</si>
  <si>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</si>
  <si>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</si>
  <si>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</si>
  <si>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</si>
  <si>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</si>
  <si>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</si>
  <si>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</si>
  <si>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</si>
  <si>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</si>
  <si>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</si>
  <si>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</si>
  <si>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</si>
  <si>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</si>
  <si>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</si>
  <si>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</si>
  <si>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</si>
  <si>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</si>
  <si>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</si>
  <si>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</si>
  <si>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</si>
  <si>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</si>
  <si>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</si>
  <si>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Y</t>
  </si>
  <si>
    <t>BE</t>
  </si>
  <si>
    <t>UNIV</t>
  </si>
  <si>
    <t>02. BENIN</t>
  </si>
  <si>
    <t>BENIN</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</si>
  <si>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</si>
  <si>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</si>
  <si>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</si>
  <si>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</si>
  <si>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</si>
  <si>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</si>
  <si>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</si>
  <si>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</si>
  <si>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</si>
  <si>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</si>
  <si>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</si>
  <si>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</si>
  <si>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</si>
  <si>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</si>
  <si>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</si>
  <si>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ALGERIA</t>
  </si>
  <si>
    <t>ALGERIJE</t>
  </si>
  <si>
    <t>ALGÉRIE</t>
  </si>
  <si>
    <t>ALG</t>
  </si>
  <si>
    <t>Afr N</t>
  </si>
  <si>
    <t>05. BURUNDI</t>
  </si>
  <si>
    <t>BURUNDI</t>
  </si>
  <si>
    <t>ANGOLA</t>
  </si>
  <si>
    <t>ANG</t>
  </si>
  <si>
    <t>AfrSS</t>
  </si>
  <si>
    <t>06. 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</si>
  <si>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</si>
  <si>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</si>
  <si>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</si>
  <si>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</si>
  <si>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</si>
  <si>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</si>
  <si>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</si>
  <si>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</si>
  <si>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</si>
  <si>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</si>
  <si>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</si>
  <si>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</si>
  <si>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</si>
  <si>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</si>
  <si>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</si>
  <si>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</si>
  <si>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</si>
  <si>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</si>
  <si>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</si>
  <si>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</si>
  <si>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</si>
  <si>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</si>
  <si>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</si>
  <si>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</si>
  <si>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</si>
  <si>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</si>
  <si>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</si>
  <si>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</si>
  <si>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</si>
  <si>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</si>
  <si>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</si>
  <si>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</si>
  <si>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</si>
  <si>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</si>
  <si>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</si>
  <si>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</si>
  <si>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</si>
  <si>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</si>
  <si>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</si>
  <si>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</si>
  <si>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</si>
  <si>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</si>
  <si>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</si>
  <si>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</si>
  <si>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</si>
  <si>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BELIZE</t>
  </si>
  <si>
    <t>BÉLIZE</t>
  </si>
  <si>
    <t>BZE</t>
  </si>
  <si>
    <t>15. MAROC</t>
  </si>
  <si>
    <t>MAROC</t>
  </si>
  <si>
    <t>MOROCCO</t>
  </si>
  <si>
    <t>BÉNIN</t>
  </si>
  <si>
    <t>BEN</t>
  </si>
  <si>
    <t>16. MOZAMBIQUE</t>
  </si>
  <si>
    <t>MOZAMBIQUE</t>
  </si>
  <si>
    <t>BHUTAN</t>
  </si>
  <si>
    <t>BHOUTAN</t>
  </si>
  <si>
    <t>BHU</t>
  </si>
  <si>
    <t>17. NIGER</t>
  </si>
  <si>
    <t>NIGER</t>
  </si>
  <si>
    <t>BOLIVIE</t>
  </si>
  <si>
    <t>BOL</t>
  </si>
  <si>
    <t>18. UGANDA</t>
  </si>
  <si>
    <t>UGANDA</t>
  </si>
  <si>
    <t>BOSNIA AND HERZEGOVINA</t>
  </si>
  <si>
    <t>BOSNIË EN HERZEGOVINA</t>
  </si>
  <si>
    <t>BOSNIE-HERZEGOVINE</t>
  </si>
  <si>
    <t>BOS</t>
  </si>
  <si>
    <t>19. PALESTINE</t>
  </si>
  <si>
    <t>BOTSWANA</t>
  </si>
  <si>
    <t>BOT</t>
  </si>
  <si>
    <t>20. PERU</t>
  </si>
  <si>
    <t>PERU</t>
  </si>
  <si>
    <t>BRAZIL</t>
  </si>
  <si>
    <t>BRAZILIE</t>
  </si>
  <si>
    <t>BRÉSIL</t>
  </si>
  <si>
    <t>BRA</t>
  </si>
  <si>
    <t>21. PHILIPPINES</t>
  </si>
  <si>
    <t>PHILIPPINES</t>
  </si>
  <si>
    <t>BKF</t>
  </si>
  <si>
    <t>22. REPUBLIQUE DEMOCRATIQUE DU CONGO</t>
  </si>
  <si>
    <t>REPUBLIQUE DEMOCRATIQUE DU CONGO</t>
  </si>
  <si>
    <t>BDI</t>
  </si>
  <si>
    <t>23. RWANDA</t>
  </si>
  <si>
    <t>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</si>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</sst>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30">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16" fillId="2" borderId="0" xfId="0" applyFont="1" applyFill="1"/>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4"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4"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4"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0" fillId="0" borderId="5" xfId="0" applyNumberFormat="1" applyFont="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Border="1"/>
    <xf numFmtId="0" fontId="0" fillId="0" borderId="40" xfId="0" applyBorder="1"/>
    <xf numFmtId="0" fontId="4" fillId="0" borderId="7" xfId="0" applyFont="1" applyBorder="1"/>
    <xf numFmtId="0" fontId="7" fillId="0" borderId="29" xfId="0" applyFont="1" applyBorder="1" applyAlignment="1">
      <alignment horizontal="center"/>
    </xf>
    <xf numFmtId="0" fontId="7" fillId="0" borderId="18" xfId="0" applyFont="1" applyBorder="1" applyAlignment="1">
      <alignment horizontal="center"/>
    </xf>
    <xf numFmtId="0" fontId="7" fillId="11" borderId="24" xfId="0" applyFont="1" applyFill="1" applyBorder="1" applyAlignment="1">
      <alignment horizontal="left"/>
    </xf>
    <xf numFmtId="0" fontId="3" fillId="14" borderId="24" xfId="0"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6"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Comma" xfId="1" builtinId="3"/>
    <cellStyle name="Normal" xfId="0" builtinId="0"/>
    <cellStyle name="Normal 7 3" xfId="3" xr:uid="{00000000-0005-0000-0000-000002000000}"/>
    <cellStyle name="Normal_mapping landen" xfId="4" xr:uid="{00000000-0005-0000-0000-000003000000}"/>
    <cellStyle name="Percent" xfId="2" builtinId="5"/>
  </cellStyles>
  <dxfs count="116">
    <dxf>
      <font>
        <strike val="0"/>
      </font>
      <fill>
        <patternFill>
          <fgColor rgb="FFFFFFCC"/>
          <bgColor rgb="FFFFFFCC"/>
        </patternFill>
      </fill>
    </dxf>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6" tableBorderDxfId="95">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4"/>
    <tableColumn id="2" xr3:uid="{00000000-0010-0000-0400-000002000000}" name="name" dataDxfId="93"/>
    <tableColumn id="3" xr3:uid="{00000000-0010-0000-0400-000003000000}" name="abbr" dataDxfId="92"/>
    <tableColumn id="4" xr3:uid="{00000000-0010-0000-0400-000004000000}" name="statut" dataDxfId="91"/>
    <tableColumn id="5" xr3:uid="{00000000-0010-0000-0400-000005000000}" name="Column1" dataDxfId="90"/>
    <tableColumn id="6" xr3:uid="{00000000-0010-0000-0400-000006000000}" name="Column2" dataDxfId="89"/>
    <tableColumn id="7" xr3:uid="{00000000-0010-0000-0400-000007000000}" name="date-accr" dataDxfId="88"/>
    <tableColumn id="8" xr3:uid="{00000000-0010-0000-0400-000008000000}" name="IATI-ID" dataDxfId="87"/>
    <tableColumn id="9" xr3:uid="{00000000-0010-0000-0400-000009000000}" name="abbr2" dataDxfId="86"/>
    <tableColumn id="10" xr3:uid="{00000000-0010-0000-0400-00000A000000}" name="name2" dataDxfId="85">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4"/>
    <tableColumn id="10" xr3:uid="{00000000-0010-0000-0500-00000A000000}" name="CSC" dataDxfId="83"/>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2">
      <calculatedColumnFormula>VLOOKUP(Table4[[#This Row],[ID]],List129[[ID]:[IATI]],7,FALSE)</calculatedColumnFormula>
    </tableColumn>
    <tableColumn id="8" xr3:uid="{00000000-0010-0000-0500-000008000000}" name="Continent"/>
    <tableColumn id="11" xr3:uid="{00000000-0010-0000-0500-00000B000000}" name="ctry" dataDxfId="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80" dataDxfId="79" totalsRowDxfId="78">
  <autoFilter ref="A1:AN281" xr:uid="{00000000-0009-0000-0100-000005000000}"/>
  <tableColumns count="40">
    <tableColumn id="1" xr3:uid="{00000000-0010-0000-0600-000001000000}" name="ID" totalsRowLabel="Total" dataDxfId="77" totalsRowDxfId="76" dataCellStyle="Normal 7 3"/>
    <tableColumn id="28" xr3:uid="{00000000-0010-0000-0600-00001C000000}" name="Code CAD" dataDxfId="75" totalsRowDxfId="74" dataCellStyle="Normal 7 3"/>
    <tableColumn id="2" xr3:uid="{00000000-0010-0000-0600-000002000000}" name="Omschrijving NL" totalsRowFunction="count" dataDxfId="73" totalsRowDxfId="72" dataCellStyle="Normal 7 3"/>
    <tableColumn id="3" xr3:uid="{00000000-0010-0000-0600-000003000000}" name="Omschrijving FR" dataDxfId="71" totalsRowDxfId="70" dataCellStyle="Normal 7 3"/>
    <tableColumn id="4" xr3:uid="{00000000-0010-0000-0600-000004000000}" name="Omschrijving EN" dataDxfId="69" totalsRowDxfId="68" dataCellStyle="Normal 7 3"/>
    <tableColumn id="5" xr3:uid="{00000000-0010-0000-0600-000005000000}" name="Afkorting" dataDxfId="67" totalsRowDxfId="66" dataCellStyle="Normal 7 3"/>
    <tableColumn id="29" xr3:uid="{00000000-0010-0000-0600-00001D000000}" name="IATI" dataDxfId="65" dataCellStyle="Normal 7 3"/>
    <tableColumn id="34" xr3:uid="{00000000-0010-0000-0600-000022000000}" name="52" dataDxfId="64" dataCellStyle="Normal 7 3"/>
    <tableColumn id="30" xr3:uid="{00000000-0010-0000-0600-00001E000000}" name="IATI region" dataDxfId="63" dataCellStyle="Normal 7 3"/>
    <tableColumn id="6" xr3:uid="{00000000-0010-0000-0600-000006000000}" name="Code CAD2" dataDxfId="62" totalsRowDxfId="61" dataCellStyle="Normal 7 3"/>
    <tableColumn id="7" xr3:uid="{00000000-0010-0000-0600-000007000000}" name="ISO" dataDxfId="60" totalsRowDxfId="59" dataCellStyle="Normal 7 3"/>
    <tableColumn id="26" xr3:uid="{00000000-0010-0000-0600-00001A000000}" name="Continent" dataDxfId="58" totalsRowDxfId="57" dataCellStyle="Normal 7 3"/>
    <tableColumn id="27" xr3:uid="{00000000-0010-0000-0600-00001B000000}" name="Income" dataDxfId="56" totalsRowDxfId="55" dataCellStyle="Normal 7 3"/>
    <tableColumn id="37" xr3:uid="{00000000-0010-0000-0600-000025000000}" name="Income2018" dataDxfId="54" totalsRowDxfId="53" dataCellStyle="Normal 7 3"/>
    <tableColumn id="40" xr3:uid="{00000000-0010-0000-0600-000028000000}" name="Income2019" dataDxfId="52" totalsRowDxfId="51" dataCellStyle="Normal 7 3"/>
    <tableColumn id="38" xr3:uid="{00000000-0010-0000-0600-000026000000}" name="check" dataDxfId="50" totalsRowDxfId="49" dataCellStyle="Normal 7 3">
      <calculatedColumnFormula>List129[[#This Row],[Income2018]]=List129[[#This Row],[Income]]</calculatedColumnFormula>
    </tableColumn>
    <tableColumn id="39" xr3:uid="{00000000-0010-0000-0600-000027000000}" name="check2" dataDxfId="48" totalsRowDxfId="47" dataCellStyle="Normal 7 3"/>
    <tableColumn id="8" xr3:uid="{00000000-0010-0000-0600-000008000000}" name="Partnerland" dataDxfId="46" totalsRowDxfId="45" dataCellStyle="Normal 7 3"/>
    <tableColumn id="32" xr3:uid="{00000000-0010-0000-0600-000020000000}" name="Priority new" dataDxfId="44" totalsRowDxfId="43" dataCellStyle="Normal 7 3">
      <calculatedColumnFormula>VLOOKUP(List129[[#This Row],[Afkorting]],$AF$288:$AF$307,1,FALSE)</calculatedColumnFormula>
    </tableColumn>
    <tableColumn id="9" xr3:uid="{00000000-0010-0000-0600-000009000000}" name="MOL-land" dataDxfId="42" totalsRowDxfId="41" dataCellStyle="Normal 7 3"/>
    <tableColumn id="10" xr3:uid="{00000000-0010-0000-0600-00000A000000}" name="VN_Island" dataDxfId="40" totalsRowDxfId="39" dataCellStyle="Normal 7 3"/>
    <tableColumn id="11" xr3:uid="{00000000-0010-0000-0600-00000B000000}" name="VN_landlocked" dataDxfId="38" totalsRowDxfId="37" dataCellStyle="Normal 7 3"/>
    <tableColumn id="12" xr3:uid="{00000000-0010-0000-0600-00000C000000}" name="Fragile" dataDxfId="36" totalsRowDxfId="35" dataCellStyle="Normal 7 3"/>
    <tableColumn id="33" xr3:uid="{00000000-0010-0000-0600-000021000000}" name="Fragile 2016" dataDxfId="34" totalsRowDxfId="33" dataCellStyle="Normal 7 3"/>
    <tableColumn id="36" xr3:uid="{00000000-0010-0000-0600-000024000000}" name="Fragile 2018" dataDxfId="32" totalsRowDxfId="31" dataCellStyle="Normal 7 3"/>
    <tableColumn id="35" xr3:uid="{00000000-0010-0000-0600-000023000000}" name="LDC or frag" dataDxfId="30" totalsRowDxfId="29" dataCellStyle="Normal 7 3">
      <calculatedColumnFormula>IF(OR(List129[[#This Row],[Fragile 2018]]=1,List129[[#This Row],[Income]]="LDC"),1,"")</calculatedColumnFormula>
    </tableColumn>
    <tableColumn id="13" xr3:uid="{00000000-0010-0000-0600-00000D000000}" name="ACP" dataDxfId="28" totalsRowDxfId="27" dataCellStyle="Normal 7 3"/>
    <tableColumn id="14" xr3:uid="{00000000-0010-0000-0600-00000E000000}" name="ODA" dataDxfId="26" totalsRowDxfId="25" dataCellStyle="Normal 7 3"/>
    <tableColumn id="15" xr3:uid="{00000000-0010-0000-0600-00000F000000}" name="HIPC" dataDxfId="24" totalsRowDxfId="23" dataCellStyle="Normal 7 3"/>
    <tableColumn id="16" xr3:uid="{00000000-0010-0000-0600-000010000000}" name="Regio" dataDxfId="22" totalsRowDxfId="21" dataCellStyle="Normal 7 3"/>
    <tableColumn id="17" xr3:uid="{00000000-0010-0000-0600-000011000000}" name="Free3" dataDxfId="20" totalsRowDxfId="19" dataCellStyle="Normal 7 3"/>
    <tableColumn id="18" xr3:uid="{00000000-0010-0000-0600-000012000000}" name="Afrika" dataDxfId="18" totalsRowDxfId="17" dataCellStyle="Normal 7 3"/>
    <tableColumn id="19" xr3:uid="{00000000-0010-0000-0600-000013000000}" name="Noord-Afrika" dataDxfId="16" totalsRowDxfId="15" dataCellStyle="Normal 7 3"/>
    <tableColumn id="20" xr3:uid="{00000000-0010-0000-0600-000014000000}" name="Afrika Subsahara" dataDxfId="14" totalsRowDxfId="13" dataCellStyle="Normal 7 3"/>
    <tableColumn id="21" xr3:uid="{00000000-0010-0000-0600-000015000000}" name="Amerika" dataDxfId="12" totalsRowDxfId="11" dataCellStyle="Normal 7 3"/>
    <tableColumn id="22" xr3:uid="{00000000-0010-0000-0600-000016000000}" name="Azië" dataDxfId="10" totalsRowDxfId="9" dataCellStyle="Normal 7 3"/>
    <tableColumn id="23" xr3:uid="{00000000-0010-0000-0600-000017000000}" name="Oceanië" dataDxfId="8" totalsRowDxfId="7" dataCellStyle="Normal 7 3"/>
    <tableColumn id="24" xr3:uid="{00000000-0010-0000-0600-000018000000}" name="Europa ODA" dataDxfId="6" totalsRowDxfId="5" dataCellStyle="Normal 7 3"/>
    <tableColumn id="25" xr3:uid="{00000000-0010-0000-0600-000019000000}" name="Volgnummer " totalsRowFunction="sum" dataDxfId="4" totalsRowDxfId="3" dataCellStyle="Normal 7 3"/>
    <tableColumn id="31" xr3:uid="{00000000-0010-0000-0600-00001F000000}" name="Omschrijving NL2" totalsRowLabel="176" dataDxfId="2" totalsRowDxfId="1" dataCellStyle="Normal 7 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5" zeroHeight="1" x14ac:dyDescent="0.25"/>
  <cols>
    <col min="1" max="1" width="1.7109375" style="115" customWidth="1"/>
    <col min="2" max="2" width="28.5703125" style="115" bestFit="1" customWidth="1"/>
    <col min="3" max="4" width="100.7109375" style="115" customWidth="1"/>
    <col min="5" max="5" width="32.5703125" style="115" customWidth="1"/>
    <col min="6" max="6" width="0" style="115" hidden="1" customWidth="1"/>
    <col min="7" max="16384" width="11.5703125" style="115" hidden="1"/>
  </cols>
  <sheetData>
    <row r="1" spans="2:4" ht="4.9000000000000004" customHeight="1" x14ac:dyDescent="0.25"/>
    <row r="2" spans="2:4" x14ac:dyDescent="0.25">
      <c r="B2" s="116" t="s">
        <v>0</v>
      </c>
      <c r="C2" s="116" t="s">
        <v>1</v>
      </c>
      <c r="D2" s="116" t="s">
        <v>2</v>
      </c>
    </row>
    <row r="3" spans="2:4" ht="4.9000000000000004" hidden="1" customHeight="1" x14ac:dyDescent="0.25">
      <c r="C3" s="17"/>
      <c r="D3" s="17"/>
    </row>
    <row r="4" spans="2:4" ht="45" x14ac:dyDescent="0.25">
      <c r="B4" s="117" t="s">
        <v>3</v>
      </c>
      <c r="C4" s="118" t="s">
        <v>4</v>
      </c>
      <c r="D4" s="118" t="s">
        <v>5</v>
      </c>
    </row>
    <row r="5" spans="2:4" x14ac:dyDescent="0.25">
      <c r="B5" s="117" t="s">
        <v>3</v>
      </c>
      <c r="C5" s="119">
        <v>2022</v>
      </c>
      <c r="D5" s="119">
        <v>2022</v>
      </c>
    </row>
    <row r="6" spans="2:4" x14ac:dyDescent="0.25">
      <c r="B6" s="117" t="s">
        <v>3</v>
      </c>
      <c r="C6" s="119">
        <v>2023</v>
      </c>
      <c r="D6" s="119">
        <v>2023</v>
      </c>
    </row>
    <row r="7" spans="2:4" x14ac:dyDescent="0.25">
      <c r="B7" s="117" t="s">
        <v>3</v>
      </c>
      <c r="C7" s="119">
        <v>2024</v>
      </c>
      <c r="D7" s="119">
        <v>2024</v>
      </c>
    </row>
    <row r="8" spans="2:4" x14ac:dyDescent="0.25">
      <c r="B8" s="117" t="s">
        <v>3</v>
      </c>
      <c r="C8" s="119">
        <v>2025</v>
      </c>
      <c r="D8" s="119">
        <v>2025</v>
      </c>
    </row>
    <row r="9" spans="2:4" x14ac:dyDescent="0.25">
      <c r="B9" s="117" t="s">
        <v>3</v>
      </c>
      <c r="C9" s="119">
        <v>2026</v>
      </c>
      <c r="D9" s="119">
        <v>2026</v>
      </c>
    </row>
    <row r="10" spans="2:4" x14ac:dyDescent="0.25">
      <c r="B10" s="117" t="s">
        <v>3</v>
      </c>
      <c r="C10" s="118" t="s">
        <v>6</v>
      </c>
      <c r="D10" s="118" t="s">
        <v>7</v>
      </c>
    </row>
    <row r="11" spans="2:4" x14ac:dyDescent="0.25">
      <c r="B11" s="117" t="s">
        <v>3</v>
      </c>
      <c r="C11" s="118" t="s">
        <v>8</v>
      </c>
      <c r="D11" s="118" t="s">
        <v>9</v>
      </c>
    </row>
    <row r="12" spans="2:4" x14ac:dyDescent="0.25">
      <c r="B12" s="117" t="s">
        <v>3</v>
      </c>
      <c r="C12" s="118" t="s">
        <v>10</v>
      </c>
      <c r="D12" s="118" t="s">
        <v>11</v>
      </c>
    </row>
    <row r="13" spans="2:4" x14ac:dyDescent="0.25">
      <c r="B13" s="117" t="s">
        <v>3</v>
      </c>
      <c r="C13" s="120">
        <v>0.2</v>
      </c>
      <c r="D13" s="120">
        <v>0.2</v>
      </c>
    </row>
    <row r="14" spans="2:4" x14ac:dyDescent="0.25">
      <c r="B14" s="117" t="s">
        <v>3</v>
      </c>
      <c r="C14" s="118" t="s">
        <v>12</v>
      </c>
      <c r="D14" s="118" t="s">
        <v>13</v>
      </c>
    </row>
    <row r="15" spans="2:4" x14ac:dyDescent="0.25">
      <c r="B15" s="117" t="s">
        <v>3</v>
      </c>
      <c r="C15" s="121">
        <v>0.8</v>
      </c>
      <c r="D15" s="121">
        <v>0.8</v>
      </c>
    </row>
    <row r="16" spans="2:4" x14ac:dyDescent="0.25">
      <c r="B16" s="117" t="s">
        <v>3</v>
      </c>
      <c r="C16" s="118" t="s">
        <v>14</v>
      </c>
      <c r="D16" s="118" t="s">
        <v>15</v>
      </c>
    </row>
    <row r="17" spans="2:4" x14ac:dyDescent="0.25">
      <c r="B17" s="117" t="s">
        <v>3</v>
      </c>
      <c r="C17" s="121">
        <v>7.0000000000000007E-2</v>
      </c>
      <c r="D17" s="121">
        <v>7.0000000000000007E-2</v>
      </c>
    </row>
    <row r="18" spans="2:4" x14ac:dyDescent="0.25">
      <c r="B18" s="117" t="s">
        <v>3</v>
      </c>
      <c r="C18" s="118" t="s">
        <v>16</v>
      </c>
      <c r="D18" s="118" t="s">
        <v>17</v>
      </c>
    </row>
    <row r="19" spans="2:4" x14ac:dyDescent="0.25">
      <c r="B19" s="117" t="s">
        <v>3</v>
      </c>
      <c r="C19" s="118" t="s">
        <v>18</v>
      </c>
      <c r="D19" s="118" t="s">
        <v>19</v>
      </c>
    </row>
    <row r="20" spans="2:4" x14ac:dyDescent="0.25">
      <c r="B20" s="117" t="s">
        <v>3</v>
      </c>
      <c r="C20" s="118" t="s">
        <v>20</v>
      </c>
      <c r="D20" s="118" t="s">
        <v>21</v>
      </c>
    </row>
    <row r="21" spans="2:4" x14ac:dyDescent="0.25">
      <c r="B21" s="117" t="s">
        <v>3</v>
      </c>
      <c r="C21" s="118" t="s">
        <v>22</v>
      </c>
      <c r="D21" s="118" t="s">
        <v>23</v>
      </c>
    </row>
    <row r="22" spans="2:4" x14ac:dyDescent="0.25">
      <c r="B22" s="117" t="s">
        <v>3</v>
      </c>
      <c r="C22" s="118" t="s">
        <v>24</v>
      </c>
      <c r="D22" s="118" t="s">
        <v>25</v>
      </c>
    </row>
    <row r="23" spans="2:4" x14ac:dyDescent="0.25">
      <c r="B23" s="117" t="s">
        <v>3</v>
      </c>
      <c r="C23" s="118" t="s">
        <v>26</v>
      </c>
      <c r="D23" s="118" t="s">
        <v>27</v>
      </c>
    </row>
    <row r="24" spans="2:4" x14ac:dyDescent="0.25">
      <c r="B24" s="117" t="s">
        <v>3</v>
      </c>
      <c r="C24" s="118" t="s">
        <v>28</v>
      </c>
      <c r="D24" s="118" t="s">
        <v>29</v>
      </c>
    </row>
    <row r="25" spans="2:4" hidden="1" x14ac:dyDescent="0.25">
      <c r="C25" s="17"/>
      <c r="D25" s="17"/>
    </row>
    <row r="26" spans="2:4" hidden="1" x14ac:dyDescent="0.25">
      <c r="B26" s="122" t="s">
        <v>30</v>
      </c>
      <c r="C26" s="118" t="s">
        <v>31</v>
      </c>
      <c r="D26" s="118" t="s">
        <v>32</v>
      </c>
    </row>
    <row r="27" spans="2:4" ht="45" hidden="1" x14ac:dyDescent="0.25">
      <c r="B27" s="122" t="s">
        <v>30</v>
      </c>
      <c r="C27" s="118" t="s">
        <v>33</v>
      </c>
      <c r="D27" s="118" t="s">
        <v>34</v>
      </c>
    </row>
    <row r="28" spans="2:4" hidden="1" x14ac:dyDescent="0.25">
      <c r="B28" s="122" t="s">
        <v>30</v>
      </c>
      <c r="C28" s="118" t="s">
        <v>35</v>
      </c>
      <c r="D28" s="118" t="s">
        <v>36</v>
      </c>
    </row>
    <row r="29" spans="2:4" hidden="1" x14ac:dyDescent="0.25">
      <c r="B29" s="122" t="s">
        <v>30</v>
      </c>
      <c r="C29" s="118" t="s">
        <v>37</v>
      </c>
      <c r="D29" s="118" t="s">
        <v>37</v>
      </c>
    </row>
    <row r="30" spans="2:4" hidden="1" x14ac:dyDescent="0.25">
      <c r="B30" s="122" t="s">
        <v>30</v>
      </c>
      <c r="C30" s="118" t="s">
        <v>38</v>
      </c>
      <c r="D30" s="118" t="s">
        <v>39</v>
      </c>
    </row>
    <row r="31" spans="2:4" hidden="1" x14ac:dyDescent="0.25">
      <c r="B31" s="122" t="s">
        <v>30</v>
      </c>
      <c r="C31" s="118" t="s">
        <v>40</v>
      </c>
      <c r="D31" s="118" t="s">
        <v>41</v>
      </c>
    </row>
    <row r="32" spans="2:4" hidden="1" x14ac:dyDescent="0.25">
      <c r="B32" s="122" t="s">
        <v>30</v>
      </c>
      <c r="C32" s="118" t="s">
        <v>42</v>
      </c>
      <c r="D32" s="118" t="s">
        <v>43</v>
      </c>
    </row>
    <row r="33" spans="2:4" hidden="1" x14ac:dyDescent="0.25">
      <c r="B33" s="122" t="s">
        <v>30</v>
      </c>
      <c r="C33" s="119">
        <v>2022</v>
      </c>
      <c r="D33" s="119">
        <v>2022</v>
      </c>
    </row>
    <row r="34" spans="2:4" hidden="1" x14ac:dyDescent="0.25">
      <c r="B34" s="122" t="s">
        <v>30</v>
      </c>
      <c r="C34" s="119">
        <v>2023</v>
      </c>
      <c r="D34" s="119">
        <v>2023</v>
      </c>
    </row>
    <row r="35" spans="2:4" hidden="1" x14ac:dyDescent="0.25">
      <c r="B35" s="122" t="s">
        <v>30</v>
      </c>
      <c r="C35" s="119">
        <v>2024</v>
      </c>
      <c r="D35" s="119">
        <v>2024</v>
      </c>
    </row>
    <row r="36" spans="2:4" hidden="1" x14ac:dyDescent="0.25">
      <c r="B36" s="122" t="s">
        <v>30</v>
      </c>
      <c r="C36" s="119">
        <v>2025</v>
      </c>
      <c r="D36" s="119">
        <v>2025</v>
      </c>
    </row>
    <row r="37" spans="2:4" hidden="1" x14ac:dyDescent="0.25">
      <c r="B37" s="122" t="s">
        <v>30</v>
      </c>
      <c r="C37" s="119">
        <v>2026</v>
      </c>
      <c r="D37" s="119">
        <v>2026</v>
      </c>
    </row>
    <row r="38" spans="2:4" hidden="1" x14ac:dyDescent="0.25">
      <c r="B38" s="122" t="s">
        <v>30</v>
      </c>
      <c r="C38" s="118" t="s">
        <v>6</v>
      </c>
      <c r="D38" s="118" t="s">
        <v>7</v>
      </c>
    </row>
    <row r="39" spans="2:4" hidden="1" x14ac:dyDescent="0.25">
      <c r="B39" s="122" t="s">
        <v>30</v>
      </c>
      <c r="C39" s="119" t="s">
        <v>44</v>
      </c>
      <c r="D39" s="119" t="s">
        <v>44</v>
      </c>
    </row>
    <row r="40" spans="2:4" hidden="1" x14ac:dyDescent="0.25">
      <c r="B40" s="122" t="s">
        <v>30</v>
      </c>
      <c r="C40" s="118" t="s">
        <v>45</v>
      </c>
      <c r="D40" s="118" t="s">
        <v>46</v>
      </c>
    </row>
    <row r="41" spans="2:4" hidden="1" x14ac:dyDescent="0.25">
      <c r="B41" s="122" t="s">
        <v>30</v>
      </c>
      <c r="C41" s="118" t="s">
        <v>47</v>
      </c>
      <c r="D41" s="118" t="s">
        <v>48</v>
      </c>
    </row>
    <row r="42" spans="2:4" hidden="1" x14ac:dyDescent="0.25">
      <c r="B42" s="122" t="s">
        <v>30</v>
      </c>
      <c r="C42" s="118" t="s">
        <v>49</v>
      </c>
      <c r="D42" s="118" t="s">
        <v>49</v>
      </c>
    </row>
    <row r="43" spans="2:4" hidden="1" x14ac:dyDescent="0.25">
      <c r="B43" s="122" t="s">
        <v>30</v>
      </c>
      <c r="C43" s="118" t="s">
        <v>50</v>
      </c>
      <c r="D43" s="118" t="s">
        <v>51</v>
      </c>
    </row>
    <row r="44" spans="2:4" hidden="1" x14ac:dyDescent="0.25">
      <c r="B44" s="122" t="s">
        <v>30</v>
      </c>
      <c r="C44" s="118" t="s">
        <v>52</v>
      </c>
      <c r="D44" s="118" t="s">
        <v>53</v>
      </c>
    </row>
    <row r="45" spans="2:4" hidden="1" x14ac:dyDescent="0.25">
      <c r="B45" s="122" t="s">
        <v>30</v>
      </c>
      <c r="C45" s="118" t="s">
        <v>54</v>
      </c>
      <c r="D45" s="118" t="s">
        <v>55</v>
      </c>
    </row>
    <row r="46" spans="2:4" hidden="1" x14ac:dyDescent="0.25">
      <c r="B46" s="122" t="s">
        <v>30</v>
      </c>
      <c r="C46" s="118" t="s">
        <v>56</v>
      </c>
      <c r="D46" s="118" t="s">
        <v>57</v>
      </c>
    </row>
    <row r="47" spans="2:4" hidden="1" x14ac:dyDescent="0.25">
      <c r="B47" s="122" t="s">
        <v>30</v>
      </c>
      <c r="C47" s="118" t="s">
        <v>58</v>
      </c>
      <c r="D47" s="118" t="s">
        <v>59</v>
      </c>
    </row>
    <row r="48" spans="2:4" hidden="1" x14ac:dyDescent="0.25">
      <c r="B48" s="122" t="s">
        <v>30</v>
      </c>
      <c r="C48" s="118" t="s">
        <v>60</v>
      </c>
      <c r="D48" s="118" t="s">
        <v>61</v>
      </c>
    </row>
    <row r="49" spans="2:4" hidden="1" x14ac:dyDescent="0.25">
      <c r="B49" s="122" t="s">
        <v>30</v>
      </c>
      <c r="C49" s="118" t="s">
        <v>62</v>
      </c>
      <c r="D49" s="118" t="s">
        <v>63</v>
      </c>
    </row>
    <row r="50" spans="2:4" hidden="1" x14ac:dyDescent="0.25">
      <c r="B50" s="122" t="s">
        <v>30</v>
      </c>
      <c r="C50" s="118" t="s">
        <v>64</v>
      </c>
      <c r="D50" s="118" t="s">
        <v>65</v>
      </c>
    </row>
    <row r="51" spans="2:4" hidden="1" x14ac:dyDescent="0.25">
      <c r="B51" s="122" t="s">
        <v>30</v>
      </c>
      <c r="C51" s="118" t="s">
        <v>66</v>
      </c>
      <c r="D51" s="118" t="s">
        <v>67</v>
      </c>
    </row>
    <row r="52" spans="2:4" hidden="1" x14ac:dyDescent="0.25">
      <c r="B52" s="122" t="s">
        <v>30</v>
      </c>
      <c r="C52" s="118" t="s">
        <v>68</v>
      </c>
      <c r="D52" s="118" t="s">
        <v>69</v>
      </c>
    </row>
    <row r="53" spans="2:4" hidden="1" x14ac:dyDescent="0.25">
      <c r="B53" s="122" t="s">
        <v>30</v>
      </c>
      <c r="C53" s="118" t="s">
        <v>70</v>
      </c>
      <c r="D53" s="118" t="s">
        <v>71</v>
      </c>
    </row>
    <row r="54" spans="2:4" hidden="1" x14ac:dyDescent="0.25">
      <c r="B54" s="122" t="s">
        <v>30</v>
      </c>
      <c r="C54" s="118" t="s">
        <v>72</v>
      </c>
      <c r="D54" s="118" t="s">
        <v>73</v>
      </c>
    </row>
    <row r="55" spans="2:4" hidden="1" x14ac:dyDescent="0.25">
      <c r="B55" s="122" t="s">
        <v>30</v>
      </c>
      <c r="C55" s="118" t="s">
        <v>74</v>
      </c>
      <c r="D55" s="118" t="s">
        <v>75</v>
      </c>
    </row>
    <row r="56" spans="2:4" hidden="1" x14ac:dyDescent="0.25">
      <c r="B56" s="122" t="s">
        <v>30</v>
      </c>
      <c r="C56" s="118" t="s">
        <v>76</v>
      </c>
      <c r="D56" s="118" t="s">
        <v>77</v>
      </c>
    </row>
    <row r="57" spans="2:4" hidden="1" x14ac:dyDescent="0.25">
      <c r="B57" s="122" t="s">
        <v>30</v>
      </c>
      <c r="C57" s="118" t="s">
        <v>78</v>
      </c>
      <c r="D57" s="118" t="s">
        <v>79</v>
      </c>
    </row>
    <row r="58" spans="2:4" hidden="1" x14ac:dyDescent="0.25">
      <c r="B58" s="122" t="s">
        <v>30</v>
      </c>
      <c r="C58" s="118" t="s">
        <v>80</v>
      </c>
      <c r="D58" s="118" t="s">
        <v>81</v>
      </c>
    </row>
    <row r="59" spans="2:4" hidden="1" x14ac:dyDescent="0.25">
      <c r="B59" s="122" t="s">
        <v>30</v>
      </c>
      <c r="C59" s="118" t="s">
        <v>82</v>
      </c>
      <c r="D59" s="118" t="s">
        <v>83</v>
      </c>
    </row>
    <row r="60" spans="2:4" hidden="1" x14ac:dyDescent="0.25">
      <c r="C60" s="17"/>
      <c r="D60" s="17"/>
    </row>
    <row r="61" spans="2:4" hidden="1" x14ac:dyDescent="0.25">
      <c r="B61" s="123" t="s">
        <v>84</v>
      </c>
      <c r="C61" s="118" t="s">
        <v>85</v>
      </c>
      <c r="D61" s="118" t="s">
        <v>86</v>
      </c>
    </row>
    <row r="62" spans="2:4" hidden="1" x14ac:dyDescent="0.25">
      <c r="B62" s="123" t="s">
        <v>84</v>
      </c>
      <c r="C62" s="118" t="s">
        <v>87</v>
      </c>
      <c r="D62" s="118" t="s">
        <v>88</v>
      </c>
    </row>
    <row r="63" spans="2:4" hidden="1" x14ac:dyDescent="0.25">
      <c r="B63" s="123" t="s">
        <v>84</v>
      </c>
      <c r="C63" s="119">
        <v>2022</v>
      </c>
      <c r="D63" s="119">
        <v>2022</v>
      </c>
    </row>
    <row r="64" spans="2:4" hidden="1" x14ac:dyDescent="0.25">
      <c r="B64" s="123" t="s">
        <v>84</v>
      </c>
      <c r="C64" s="119">
        <v>2023</v>
      </c>
      <c r="D64" s="119">
        <v>2023</v>
      </c>
    </row>
    <row r="65" spans="2:4" hidden="1" x14ac:dyDescent="0.25">
      <c r="B65" s="123" t="s">
        <v>84</v>
      </c>
      <c r="C65" s="119">
        <v>2024</v>
      </c>
      <c r="D65" s="119">
        <v>2024</v>
      </c>
    </row>
    <row r="66" spans="2:4" hidden="1" x14ac:dyDescent="0.25">
      <c r="B66" s="123" t="s">
        <v>84</v>
      </c>
      <c r="C66" s="119">
        <v>2025</v>
      </c>
      <c r="D66" s="119">
        <v>2025</v>
      </c>
    </row>
    <row r="67" spans="2:4" hidden="1" x14ac:dyDescent="0.25">
      <c r="B67" s="123" t="s">
        <v>84</v>
      </c>
      <c r="C67" s="119">
        <v>2026</v>
      </c>
      <c r="D67" s="119">
        <v>2026</v>
      </c>
    </row>
    <row r="68" spans="2:4" hidden="1" x14ac:dyDescent="0.25">
      <c r="B68" s="123" t="s">
        <v>84</v>
      </c>
      <c r="C68" s="118" t="s">
        <v>78</v>
      </c>
      <c r="D68" s="118" t="s">
        <v>79</v>
      </c>
    </row>
    <row r="69" spans="2:4" hidden="1" x14ac:dyDescent="0.25">
      <c r="B69" s="123" t="s">
        <v>84</v>
      </c>
      <c r="C69" s="118" t="s">
        <v>89</v>
      </c>
      <c r="D69" s="118" t="s">
        <v>90</v>
      </c>
    </row>
    <row r="70" spans="2:4" hidden="1" x14ac:dyDescent="0.25">
      <c r="B70" s="123" t="s">
        <v>84</v>
      </c>
      <c r="C70" s="118" t="s">
        <v>91</v>
      </c>
      <c r="D70" s="118" t="s">
        <v>92</v>
      </c>
    </row>
    <row r="71" spans="2:4" ht="17.25" hidden="1" x14ac:dyDescent="0.25">
      <c r="B71" s="123" t="s">
        <v>84</v>
      </c>
      <c r="C71" s="118" t="s">
        <v>93</v>
      </c>
      <c r="D71" s="118" t="s">
        <v>94</v>
      </c>
    </row>
    <row r="72" spans="2:4" ht="17.25" hidden="1" x14ac:dyDescent="0.25">
      <c r="B72" s="123" t="s">
        <v>84</v>
      </c>
      <c r="C72" s="118" t="s">
        <v>95</v>
      </c>
      <c r="D72" s="118" t="s">
        <v>96</v>
      </c>
    </row>
    <row r="73" spans="2:4" ht="17.25" hidden="1" x14ac:dyDescent="0.25">
      <c r="B73" s="123" t="s">
        <v>84</v>
      </c>
      <c r="C73" s="118" t="s">
        <v>97</v>
      </c>
      <c r="D73" s="118" t="s">
        <v>98</v>
      </c>
    </row>
    <row r="74" spans="2:4" hidden="1" x14ac:dyDescent="0.25">
      <c r="B74" s="123" t="s">
        <v>84</v>
      </c>
      <c r="C74" s="118" t="s">
        <v>99</v>
      </c>
      <c r="D74" s="118" t="s">
        <v>100</v>
      </c>
    </row>
    <row r="75" spans="2:4" hidden="1" x14ac:dyDescent="0.25">
      <c r="B75" s="123" t="s">
        <v>84</v>
      </c>
      <c r="C75" s="118" t="s">
        <v>101</v>
      </c>
      <c r="D75" s="118" t="s">
        <v>102</v>
      </c>
    </row>
    <row r="76" spans="2:4" hidden="1" x14ac:dyDescent="0.25">
      <c r="B76" s="123" t="s">
        <v>84</v>
      </c>
      <c r="C76" s="118" t="s">
        <v>103</v>
      </c>
      <c r="D76" s="118" t="s">
        <v>104</v>
      </c>
    </row>
    <row r="77" spans="2:4" hidden="1" x14ac:dyDescent="0.25">
      <c r="B77" s="123" t="s">
        <v>84</v>
      </c>
      <c r="C77" s="118" t="s">
        <v>105</v>
      </c>
      <c r="D77" s="118" t="s">
        <v>106</v>
      </c>
    </row>
    <row r="78" spans="2:4" hidden="1" x14ac:dyDescent="0.25">
      <c r="B78" s="123" t="s">
        <v>84</v>
      </c>
      <c r="C78" s="118" t="s">
        <v>107</v>
      </c>
      <c r="D78" s="118" t="s">
        <v>108</v>
      </c>
    </row>
    <row r="79" spans="2:4" hidden="1" x14ac:dyDescent="0.25">
      <c r="B79" s="123" t="s">
        <v>84</v>
      </c>
      <c r="C79" s="118" t="s">
        <v>109</v>
      </c>
      <c r="D79" s="118" t="s">
        <v>110</v>
      </c>
    </row>
    <row r="80" spans="2:4" hidden="1" x14ac:dyDescent="0.25">
      <c r="B80" s="123" t="s">
        <v>84</v>
      </c>
      <c r="C80" s="118" t="s">
        <v>111</v>
      </c>
      <c r="D80" s="118" t="s">
        <v>112</v>
      </c>
    </row>
    <row r="81" spans="2:4" hidden="1" x14ac:dyDescent="0.25">
      <c r="B81" s="123" t="s">
        <v>84</v>
      </c>
      <c r="C81" s="118" t="s">
        <v>113</v>
      </c>
      <c r="D81" s="118" t="s">
        <v>114</v>
      </c>
    </row>
    <row r="82" spans="2:4" hidden="1" x14ac:dyDescent="0.25">
      <c r="B82" s="123" t="s">
        <v>84</v>
      </c>
      <c r="C82" s="118" t="s">
        <v>115</v>
      </c>
      <c r="D82" s="118" t="s">
        <v>116</v>
      </c>
    </row>
    <row r="83" spans="2:4" hidden="1" x14ac:dyDescent="0.25">
      <c r="B83" s="123" t="s">
        <v>84</v>
      </c>
      <c r="C83" s="118" t="s">
        <v>117</v>
      </c>
      <c r="D83" s="118" t="s">
        <v>118</v>
      </c>
    </row>
    <row r="84" spans="2:4" hidden="1" x14ac:dyDescent="0.25">
      <c r="B84" s="123" t="s">
        <v>84</v>
      </c>
      <c r="C84" s="118" t="s">
        <v>119</v>
      </c>
      <c r="D84" s="118" t="s">
        <v>120</v>
      </c>
    </row>
    <row r="85" spans="2:4" hidden="1" x14ac:dyDescent="0.25">
      <c r="B85" s="123" t="s">
        <v>84</v>
      </c>
      <c r="C85" s="118" t="s">
        <v>121</v>
      </c>
      <c r="D85" s="118" t="s">
        <v>122</v>
      </c>
    </row>
    <row r="86" spans="2:4" hidden="1" x14ac:dyDescent="0.25">
      <c r="B86" s="123" t="s">
        <v>84</v>
      </c>
      <c r="C86" s="118" t="s">
        <v>123</v>
      </c>
      <c r="D86" s="118" t="s">
        <v>124</v>
      </c>
    </row>
    <row r="87" spans="2:4" ht="32.25" hidden="1" x14ac:dyDescent="0.25">
      <c r="B87" s="123" t="s">
        <v>84</v>
      </c>
      <c r="C87" s="118" t="s">
        <v>125</v>
      </c>
      <c r="D87" s="118" t="s">
        <v>126</v>
      </c>
    </row>
    <row r="88" spans="2:4" hidden="1" x14ac:dyDescent="0.25">
      <c r="C88" s="17"/>
      <c r="D88" s="17"/>
    </row>
    <row r="89" spans="2:4" hidden="1" x14ac:dyDescent="0.25">
      <c r="B89" s="124" t="s">
        <v>127</v>
      </c>
      <c r="C89" s="118" t="s">
        <v>128</v>
      </c>
      <c r="D89" s="118" t="s">
        <v>129</v>
      </c>
    </row>
    <row r="90" spans="2:4" hidden="1" x14ac:dyDescent="0.25">
      <c r="B90" s="124" t="s">
        <v>127</v>
      </c>
      <c r="C90" s="118" t="s">
        <v>87</v>
      </c>
      <c r="D90" s="118" t="s">
        <v>88</v>
      </c>
    </row>
    <row r="91" spans="2:4" hidden="1" x14ac:dyDescent="0.25">
      <c r="B91" s="124" t="s">
        <v>127</v>
      </c>
      <c r="C91" s="119">
        <v>2022</v>
      </c>
      <c r="D91" s="119">
        <v>2022</v>
      </c>
    </row>
    <row r="92" spans="2:4" hidden="1" x14ac:dyDescent="0.25">
      <c r="B92" s="124" t="s">
        <v>127</v>
      </c>
      <c r="C92" s="119">
        <v>2023</v>
      </c>
      <c r="D92" s="119">
        <v>2023</v>
      </c>
    </row>
    <row r="93" spans="2:4" hidden="1" x14ac:dyDescent="0.25">
      <c r="B93" s="124" t="s">
        <v>127</v>
      </c>
      <c r="C93" s="119">
        <v>2024</v>
      </c>
      <c r="D93" s="119">
        <v>2024</v>
      </c>
    </row>
    <row r="94" spans="2:4" hidden="1" x14ac:dyDescent="0.25">
      <c r="B94" s="124" t="s">
        <v>127</v>
      </c>
      <c r="C94" s="119">
        <v>2025</v>
      </c>
      <c r="D94" s="119">
        <v>2025</v>
      </c>
    </row>
    <row r="95" spans="2:4" hidden="1" x14ac:dyDescent="0.25">
      <c r="B95" s="124" t="s">
        <v>127</v>
      </c>
      <c r="C95" s="119">
        <v>2026</v>
      </c>
      <c r="D95" s="119">
        <v>2026</v>
      </c>
    </row>
    <row r="96" spans="2:4" hidden="1" x14ac:dyDescent="0.25">
      <c r="B96" s="124" t="s">
        <v>127</v>
      </c>
      <c r="C96" s="118" t="s">
        <v>78</v>
      </c>
      <c r="D96" s="118" t="s">
        <v>79</v>
      </c>
    </row>
    <row r="97" spans="2:5" hidden="1" x14ac:dyDescent="0.25">
      <c r="B97" s="124" t="s">
        <v>127</v>
      </c>
      <c r="C97" s="118" t="s">
        <v>130</v>
      </c>
      <c r="D97" s="118" t="s">
        <v>131</v>
      </c>
    </row>
    <row r="98" spans="2:5" hidden="1" x14ac:dyDescent="0.25">
      <c r="B98" s="124" t="s">
        <v>127</v>
      </c>
      <c r="C98" s="118" t="s">
        <v>132</v>
      </c>
      <c r="D98" s="118" t="s">
        <v>133</v>
      </c>
    </row>
    <row r="99" spans="2:5" hidden="1" x14ac:dyDescent="0.25">
      <c r="B99" s="124" t="s">
        <v>127</v>
      </c>
      <c r="C99" s="128" t="s">
        <v>134</v>
      </c>
      <c r="D99" s="118" t="s">
        <v>135</v>
      </c>
      <c r="E99" s="115" t="s">
        <v>136</v>
      </c>
    </row>
    <row r="100" spans="2:5" hidden="1" x14ac:dyDescent="0.25">
      <c r="B100" s="124" t="s">
        <v>127</v>
      </c>
      <c r="C100" s="128" t="s">
        <v>137</v>
      </c>
      <c r="D100" s="118" t="s">
        <v>138</v>
      </c>
      <c r="E100" s="115" t="s">
        <v>136</v>
      </c>
    </row>
    <row r="101" spans="2:5" hidden="1" x14ac:dyDescent="0.25">
      <c r="B101" s="124" t="s">
        <v>127</v>
      </c>
      <c r="C101" s="128" t="s">
        <v>139</v>
      </c>
      <c r="D101" s="118" t="s">
        <v>140</v>
      </c>
      <c r="E101" s="115" t="s">
        <v>136</v>
      </c>
    </row>
    <row r="102" spans="2:5" hidden="1" x14ac:dyDescent="0.25">
      <c r="B102" s="124" t="s">
        <v>127</v>
      </c>
      <c r="C102" s="128" t="s">
        <v>141</v>
      </c>
      <c r="D102" s="118" t="s">
        <v>142</v>
      </c>
      <c r="E102" s="115" t="s">
        <v>136</v>
      </c>
    </row>
    <row r="103" spans="2:5" hidden="1" x14ac:dyDescent="0.25">
      <c r="B103" s="124" t="s">
        <v>127</v>
      </c>
      <c r="C103" s="128" t="s">
        <v>143</v>
      </c>
      <c r="D103" s="118" t="s">
        <v>144</v>
      </c>
      <c r="E103" s="115" t="s">
        <v>136</v>
      </c>
    </row>
    <row r="104" spans="2:5" hidden="1" x14ac:dyDescent="0.25">
      <c r="B104" s="124" t="s">
        <v>127</v>
      </c>
      <c r="C104" s="128" t="s">
        <v>145</v>
      </c>
      <c r="D104" s="118" t="s">
        <v>146</v>
      </c>
      <c r="E104" s="115" t="s">
        <v>136</v>
      </c>
    </row>
    <row r="105" spans="2:5" hidden="1" x14ac:dyDescent="0.25">
      <c r="B105" s="124" t="s">
        <v>127</v>
      </c>
      <c r="C105" s="128" t="s">
        <v>147</v>
      </c>
      <c r="D105" s="118" t="s">
        <v>148</v>
      </c>
      <c r="E105" s="115" t="s">
        <v>136</v>
      </c>
    </row>
    <row r="106" spans="2:5" hidden="1" x14ac:dyDescent="0.25">
      <c r="B106" s="124" t="s">
        <v>127</v>
      </c>
      <c r="C106" s="128" t="s">
        <v>149</v>
      </c>
      <c r="D106" s="118" t="s">
        <v>150</v>
      </c>
      <c r="E106" s="115" t="s">
        <v>136</v>
      </c>
    </row>
    <row r="107" spans="2:5" hidden="1" x14ac:dyDescent="0.25">
      <c r="B107" s="124" t="s">
        <v>127</v>
      </c>
      <c r="C107" s="128" t="s">
        <v>151</v>
      </c>
      <c r="D107" s="118" t="s">
        <v>152</v>
      </c>
      <c r="E107" s="115" t="s">
        <v>136</v>
      </c>
    </row>
    <row r="108" spans="2:5" hidden="1" x14ac:dyDescent="0.25">
      <c r="B108" s="124" t="s">
        <v>127</v>
      </c>
      <c r="C108" s="128" t="s">
        <v>153</v>
      </c>
      <c r="D108" s="118" t="s">
        <v>154</v>
      </c>
      <c r="E108" s="115" t="s">
        <v>136</v>
      </c>
    </row>
    <row r="109" spans="2:5" hidden="1" x14ac:dyDescent="0.25">
      <c r="B109" s="124" t="s">
        <v>127</v>
      </c>
      <c r="C109" s="128" t="s">
        <v>155</v>
      </c>
      <c r="D109" s="118" t="s">
        <v>156</v>
      </c>
      <c r="E109" s="115" t="s">
        <v>136</v>
      </c>
    </row>
    <row r="110" spans="2:5" ht="30" hidden="1" x14ac:dyDescent="0.25">
      <c r="B110" s="124" t="s">
        <v>127</v>
      </c>
      <c r="C110" s="118" t="s">
        <v>157</v>
      </c>
      <c r="D110" s="118" t="s">
        <v>158</v>
      </c>
    </row>
    <row r="111" spans="2:5" hidden="1" x14ac:dyDescent="0.25">
      <c r="C111" s="17"/>
      <c r="D111" s="17"/>
    </row>
    <row r="112" spans="2:5" x14ac:dyDescent="0.25">
      <c r="B112" s="125" t="s">
        <v>159</v>
      </c>
      <c r="C112" s="118" t="s">
        <v>160</v>
      </c>
      <c r="D112" s="118" t="s">
        <v>161</v>
      </c>
    </row>
    <row r="113" spans="2:4" x14ac:dyDescent="0.25">
      <c r="B113" s="125" t="s">
        <v>159</v>
      </c>
      <c r="C113" s="118" t="s">
        <v>87</v>
      </c>
      <c r="D113" s="118" t="s">
        <v>88</v>
      </c>
    </row>
    <row r="114" spans="2:4" x14ac:dyDescent="0.25">
      <c r="B114" s="125" t="s">
        <v>159</v>
      </c>
      <c r="C114" s="119">
        <v>2022</v>
      </c>
      <c r="D114" s="119">
        <v>2022</v>
      </c>
    </row>
    <row r="115" spans="2:4" x14ac:dyDescent="0.25">
      <c r="B115" s="125" t="s">
        <v>159</v>
      </c>
      <c r="C115" s="119">
        <v>2023</v>
      </c>
      <c r="D115" s="119">
        <v>2023</v>
      </c>
    </row>
    <row r="116" spans="2:4" x14ac:dyDescent="0.25">
      <c r="B116" s="125" t="s">
        <v>159</v>
      </c>
      <c r="C116" s="119">
        <v>2024</v>
      </c>
      <c r="D116" s="119">
        <v>2024</v>
      </c>
    </row>
    <row r="117" spans="2:4" x14ac:dyDescent="0.25">
      <c r="B117" s="125" t="s">
        <v>159</v>
      </c>
      <c r="C117" s="119">
        <v>2025</v>
      </c>
      <c r="D117" s="119">
        <v>2025</v>
      </c>
    </row>
    <row r="118" spans="2:4" x14ac:dyDescent="0.25">
      <c r="B118" s="125" t="s">
        <v>159</v>
      </c>
      <c r="C118" s="119">
        <v>2026</v>
      </c>
      <c r="D118" s="119">
        <v>2026</v>
      </c>
    </row>
    <row r="119" spans="2:4" x14ac:dyDescent="0.25">
      <c r="B119" s="125" t="s">
        <v>159</v>
      </c>
      <c r="C119" s="118" t="s">
        <v>78</v>
      </c>
      <c r="D119" s="118" t="s">
        <v>79</v>
      </c>
    </row>
    <row r="120" spans="2:4" x14ac:dyDescent="0.25">
      <c r="B120" s="125" t="s">
        <v>159</v>
      </c>
      <c r="C120" s="118" t="s">
        <v>162</v>
      </c>
      <c r="D120" s="118" t="s">
        <v>163</v>
      </c>
    </row>
    <row r="121" spans="2:4" x14ac:dyDescent="0.25">
      <c r="B121" s="125" t="s">
        <v>159</v>
      </c>
      <c r="C121" s="118" t="s">
        <v>164</v>
      </c>
      <c r="D121" s="118" t="s">
        <v>165</v>
      </c>
    </row>
    <row r="122" spans="2:4" x14ac:dyDescent="0.25">
      <c r="B122" s="125" t="s">
        <v>159</v>
      </c>
      <c r="C122" s="118" t="s">
        <v>166</v>
      </c>
      <c r="D122" s="118" t="s">
        <v>167</v>
      </c>
    </row>
    <row r="123" spans="2:4" x14ac:dyDescent="0.25">
      <c r="B123" s="125" t="s">
        <v>159</v>
      </c>
      <c r="C123" s="118" t="s">
        <v>168</v>
      </c>
      <c r="D123" s="118" t="s">
        <v>169</v>
      </c>
    </row>
    <row r="124" spans="2:4" x14ac:dyDescent="0.25">
      <c r="B124" s="125" t="s">
        <v>159</v>
      </c>
      <c r="C124" s="118" t="s">
        <v>170</v>
      </c>
      <c r="D124" s="118" t="s">
        <v>171</v>
      </c>
    </row>
    <row r="125" spans="2:4" x14ac:dyDescent="0.25">
      <c r="B125" s="125" t="s">
        <v>159</v>
      </c>
      <c r="C125" s="118" t="s">
        <v>172</v>
      </c>
      <c r="D125" s="118" t="s">
        <v>173</v>
      </c>
    </row>
    <row r="126" spans="2:4" x14ac:dyDescent="0.25">
      <c r="B126" s="125" t="s">
        <v>159</v>
      </c>
      <c r="C126" s="118" t="s">
        <v>174</v>
      </c>
      <c r="D126" s="118" t="s">
        <v>175</v>
      </c>
    </row>
    <row r="127" spans="2:4" x14ac:dyDescent="0.25">
      <c r="B127" s="125" t="s">
        <v>159</v>
      </c>
      <c r="C127" s="118" t="s">
        <v>176</v>
      </c>
      <c r="D127" s="118" t="s">
        <v>177</v>
      </c>
    </row>
    <row r="128" spans="2:4" x14ac:dyDescent="0.25">
      <c r="B128" s="125" t="s">
        <v>159</v>
      </c>
      <c r="C128" s="118" t="s">
        <v>178</v>
      </c>
      <c r="D128" s="118" t="s">
        <v>179</v>
      </c>
    </row>
    <row r="129" spans="2:4" x14ac:dyDescent="0.25">
      <c r="B129" s="125" t="s">
        <v>159</v>
      </c>
      <c r="C129" s="118" t="s">
        <v>109</v>
      </c>
      <c r="D129" s="118" t="s">
        <v>110</v>
      </c>
    </row>
    <row r="130" spans="2:4" x14ac:dyDescent="0.25">
      <c r="B130" s="125" t="s">
        <v>159</v>
      </c>
      <c r="C130" s="118" t="s">
        <v>117</v>
      </c>
      <c r="D130" s="118" t="s">
        <v>118</v>
      </c>
    </row>
    <row r="131" spans="2:4" x14ac:dyDescent="0.25">
      <c r="B131" s="125" t="s">
        <v>159</v>
      </c>
      <c r="C131" s="118" t="s">
        <v>180</v>
      </c>
      <c r="D131" s="118" t="s">
        <v>181</v>
      </c>
    </row>
    <row r="132" spans="2:4" x14ac:dyDescent="0.25">
      <c r="B132" s="125" t="s">
        <v>159</v>
      </c>
      <c r="C132" s="118" t="s">
        <v>182</v>
      </c>
      <c r="D132" s="118" t="s">
        <v>183</v>
      </c>
    </row>
    <row r="133" spans="2:4" x14ac:dyDescent="0.25">
      <c r="B133" s="125" t="s">
        <v>159</v>
      </c>
      <c r="C133" s="118" t="s">
        <v>184</v>
      </c>
      <c r="D133" s="118" t="s">
        <v>185</v>
      </c>
    </row>
    <row r="134" spans="2:4" x14ac:dyDescent="0.25">
      <c r="B134" s="125" t="s">
        <v>159</v>
      </c>
      <c r="C134" s="118" t="s">
        <v>186</v>
      </c>
      <c r="D134" s="118" t="s">
        <v>187</v>
      </c>
    </row>
    <row r="135" spans="2:4" x14ac:dyDescent="0.25">
      <c r="B135" s="125" t="s">
        <v>159</v>
      </c>
      <c r="C135" s="118" t="s">
        <v>188</v>
      </c>
      <c r="D135" s="118" t="s">
        <v>189</v>
      </c>
    </row>
    <row r="136" spans="2:4" x14ac:dyDescent="0.25">
      <c r="B136" s="125" t="s">
        <v>159</v>
      </c>
      <c r="C136" s="118" t="s">
        <v>190</v>
      </c>
      <c r="D136" s="118" t="s">
        <v>191</v>
      </c>
    </row>
    <row r="137" spans="2:4" x14ac:dyDescent="0.25">
      <c r="B137" s="125" t="s">
        <v>159</v>
      </c>
      <c r="C137" s="118" t="s">
        <v>192</v>
      </c>
      <c r="D137" s="118" t="s">
        <v>193</v>
      </c>
    </row>
    <row r="138" spans="2:4" x14ac:dyDescent="0.25">
      <c r="B138" s="125" t="s">
        <v>159</v>
      </c>
      <c r="C138" s="118" t="s">
        <v>194</v>
      </c>
      <c r="D138" s="118" t="s">
        <v>195</v>
      </c>
    </row>
    <row r="139" spans="2:4" x14ac:dyDescent="0.25">
      <c r="B139" s="125" t="s">
        <v>159</v>
      </c>
      <c r="C139" s="118" t="s">
        <v>196</v>
      </c>
      <c r="D139" s="118" t="s">
        <v>197</v>
      </c>
    </row>
    <row r="140" spans="2:4" x14ac:dyDescent="0.25">
      <c r="B140" s="125" t="s">
        <v>159</v>
      </c>
      <c r="C140" s="118" t="s">
        <v>198</v>
      </c>
      <c r="D140" s="118" t="s">
        <v>199</v>
      </c>
    </row>
    <row r="141" spans="2:4" x14ac:dyDescent="0.25">
      <c r="B141" s="125" t="s">
        <v>159</v>
      </c>
      <c r="C141" s="118" t="s">
        <v>200</v>
      </c>
      <c r="D141" s="118" t="s">
        <v>201</v>
      </c>
    </row>
    <row r="142" spans="2:4" x14ac:dyDescent="0.25">
      <c r="B142" s="125" t="s">
        <v>159</v>
      </c>
      <c r="C142" s="118" t="s">
        <v>202</v>
      </c>
      <c r="D142" s="118" t="s">
        <v>203</v>
      </c>
    </row>
    <row r="143" spans="2:4" x14ac:dyDescent="0.25">
      <c r="B143" s="125" t="s">
        <v>159</v>
      </c>
      <c r="C143" s="118" t="s">
        <v>204</v>
      </c>
      <c r="D143" s="118" t="s">
        <v>205</v>
      </c>
    </row>
    <row r="144" spans="2:4" x14ac:dyDescent="0.25">
      <c r="B144" s="125" t="s">
        <v>159</v>
      </c>
      <c r="C144" s="118" t="s">
        <v>206</v>
      </c>
      <c r="D144" s="118" t="s">
        <v>207</v>
      </c>
    </row>
    <row r="145" spans="2:4" x14ac:dyDescent="0.25">
      <c r="B145" s="125" t="s">
        <v>159</v>
      </c>
      <c r="C145" s="118" t="s">
        <v>208</v>
      </c>
      <c r="D145" s="118" t="s">
        <v>209</v>
      </c>
    </row>
    <row r="146" spans="2:4" x14ac:dyDescent="0.25">
      <c r="B146" s="125" t="s">
        <v>159</v>
      </c>
      <c r="C146" s="118" t="s">
        <v>210</v>
      </c>
      <c r="D146" s="118" t="s">
        <v>211</v>
      </c>
    </row>
    <row r="147" spans="2:4" x14ac:dyDescent="0.25">
      <c r="B147" s="125" t="s">
        <v>159</v>
      </c>
      <c r="C147" s="118" t="s">
        <v>212</v>
      </c>
      <c r="D147" s="118" t="s">
        <v>213</v>
      </c>
    </row>
    <row r="148" spans="2:4" x14ac:dyDescent="0.25">
      <c r="B148" s="125" t="s">
        <v>159</v>
      </c>
      <c r="C148" s="118" t="s">
        <v>214</v>
      </c>
      <c r="D148" s="118" t="s">
        <v>215</v>
      </c>
    </row>
    <row r="149" spans="2:4" x14ac:dyDescent="0.25">
      <c r="B149" s="125" t="s">
        <v>159</v>
      </c>
      <c r="C149" s="126" t="s">
        <v>216</v>
      </c>
      <c r="D149" s="126" t="s">
        <v>217</v>
      </c>
    </row>
    <row r="150" spans="2:4" ht="30" x14ac:dyDescent="0.25">
      <c r="B150" s="125" t="s">
        <v>159</v>
      </c>
      <c r="C150" s="118" t="s">
        <v>157</v>
      </c>
      <c r="D150" s="118" t="s">
        <v>158</v>
      </c>
    </row>
    <row r="152" spans="2:4" ht="30" hidden="1" x14ac:dyDescent="0.25">
      <c r="B152" s="127" t="s">
        <v>218</v>
      </c>
      <c r="C152" s="118" t="s">
        <v>219</v>
      </c>
      <c r="D152" s="118" t="s">
        <v>220</v>
      </c>
    </row>
    <row r="153" spans="2:4" ht="60" hidden="1" x14ac:dyDescent="0.25">
      <c r="B153" s="127" t="s">
        <v>218</v>
      </c>
      <c r="C153" s="118" t="s">
        <v>221</v>
      </c>
      <c r="D153" s="118" t="s">
        <v>222</v>
      </c>
    </row>
    <row r="154" spans="2:4" hidden="1" x14ac:dyDescent="0.25">
      <c r="B154" s="127" t="s">
        <v>218</v>
      </c>
      <c r="C154" s="118" t="s">
        <v>190</v>
      </c>
      <c r="D154" s="118" t="s">
        <v>191</v>
      </c>
    </row>
    <row r="155" spans="2:4" hidden="1" x14ac:dyDescent="0.25">
      <c r="B155" s="127" t="s">
        <v>218</v>
      </c>
      <c r="C155" s="119">
        <v>2022</v>
      </c>
      <c r="D155" s="119">
        <v>2022</v>
      </c>
    </row>
    <row r="156" spans="2:4" hidden="1" x14ac:dyDescent="0.25">
      <c r="B156" s="127" t="s">
        <v>218</v>
      </c>
      <c r="C156" s="119">
        <v>2023</v>
      </c>
      <c r="D156" s="119">
        <v>2023</v>
      </c>
    </row>
    <row r="157" spans="2:4" hidden="1" x14ac:dyDescent="0.25">
      <c r="B157" s="127" t="s">
        <v>218</v>
      </c>
      <c r="C157" s="119">
        <v>2024</v>
      </c>
      <c r="D157" s="119">
        <v>2024</v>
      </c>
    </row>
    <row r="158" spans="2:4" hidden="1" x14ac:dyDescent="0.25">
      <c r="B158" s="127" t="s">
        <v>218</v>
      </c>
      <c r="C158" s="119">
        <v>2025</v>
      </c>
      <c r="D158" s="119">
        <v>2025</v>
      </c>
    </row>
    <row r="159" spans="2:4" hidden="1" x14ac:dyDescent="0.25">
      <c r="B159" s="127" t="s">
        <v>218</v>
      </c>
      <c r="C159" s="119">
        <v>2026</v>
      </c>
      <c r="D159" s="119">
        <v>2026</v>
      </c>
    </row>
    <row r="160" spans="2:4" hidden="1" x14ac:dyDescent="0.25">
      <c r="B160" s="127" t="s">
        <v>218</v>
      </c>
      <c r="C160" s="118" t="s">
        <v>78</v>
      </c>
      <c r="D160" s="118" t="s">
        <v>79</v>
      </c>
    </row>
    <row r="161" spans="2:4" hidden="1" x14ac:dyDescent="0.25">
      <c r="B161" s="127" t="s">
        <v>218</v>
      </c>
      <c r="C161" s="118" t="s">
        <v>223</v>
      </c>
      <c r="D161" s="118" t="s">
        <v>224</v>
      </c>
    </row>
    <row r="162" spans="2:4" hidden="1" x14ac:dyDescent="0.25">
      <c r="B162" s="127" t="s">
        <v>218</v>
      </c>
      <c r="C162" s="118" t="s">
        <v>225</v>
      </c>
      <c r="D162" s="118" t="s">
        <v>226</v>
      </c>
    </row>
    <row r="163" spans="2:4" hidden="1" x14ac:dyDescent="0.25">
      <c r="B163" s="127" t="s">
        <v>218</v>
      </c>
      <c r="C163" s="118" t="s">
        <v>227</v>
      </c>
      <c r="D163" s="118" t="s">
        <v>228</v>
      </c>
    </row>
    <row r="164" spans="2:4" hidden="1" x14ac:dyDescent="0.25">
      <c r="B164" s="127" t="s">
        <v>218</v>
      </c>
      <c r="C164" s="118" t="s">
        <v>229</v>
      </c>
      <c r="D164" s="118" t="s">
        <v>230</v>
      </c>
    </row>
    <row r="165" spans="2:4" hidden="1" x14ac:dyDescent="0.25">
      <c r="B165" s="127" t="s">
        <v>218</v>
      </c>
      <c r="C165" s="118" t="s">
        <v>231</v>
      </c>
      <c r="D165" s="118" t="s">
        <v>232</v>
      </c>
    </row>
    <row r="166" spans="2:4" hidden="1" x14ac:dyDescent="0.25">
      <c r="B166" s="131" t="s">
        <v>218</v>
      </c>
      <c r="C166" s="132" t="s">
        <v>233</v>
      </c>
      <c r="D166" s="132" t="s">
        <v>234</v>
      </c>
    </row>
    <row r="167" spans="2:4" x14ac:dyDescent="0.25">
      <c r="C167" s="17"/>
      <c r="D167" s="17"/>
    </row>
    <row r="168" spans="2:4" x14ac:dyDescent="0.25">
      <c r="C168" s="17"/>
      <c r="D168" s="17"/>
    </row>
    <row r="169" spans="2:4" x14ac:dyDescent="0.25">
      <c r="C169" s="17"/>
      <c r="D169" s="17"/>
    </row>
    <row r="170" spans="2:4" x14ac:dyDescent="0.25">
      <c r="C170" s="17"/>
      <c r="D170" s="17"/>
    </row>
    <row r="171" spans="2:4" hidden="1" x14ac:dyDescent="0.25">
      <c r="C171" s="17"/>
      <c r="D171" s="17"/>
    </row>
    <row r="172" spans="2:4" hidden="1" x14ac:dyDescent="0.25">
      <c r="C172" s="17"/>
      <c r="D172" s="17"/>
    </row>
    <row r="173" spans="2:4" hidden="1" x14ac:dyDescent="0.25">
      <c r="C173" s="17"/>
      <c r="D173" s="17"/>
    </row>
    <row r="174" spans="2:4" hidden="1" x14ac:dyDescent="0.25">
      <c r="C174" s="17"/>
      <c r="D174" s="17"/>
    </row>
    <row r="175" spans="2:4" hidden="1" x14ac:dyDescent="0.25">
      <c r="C175" s="17"/>
      <c r="D175" s="17"/>
    </row>
    <row r="176" spans="2:4" hidden="1" x14ac:dyDescent="0.25">
      <c r="C176" s="17"/>
      <c r="D176" s="17"/>
    </row>
    <row r="177" spans="3:4" hidden="1" x14ac:dyDescent="0.25">
      <c r="C177" s="17"/>
      <c r="D177" s="17"/>
    </row>
    <row r="178" spans="3:4" hidden="1" x14ac:dyDescent="0.25">
      <c r="C178" s="17"/>
      <c r="D178" s="17"/>
    </row>
    <row r="179" spans="3:4" hidden="1" x14ac:dyDescent="0.25">
      <c r="C179" s="17"/>
      <c r="D179" s="17"/>
    </row>
    <row r="180" spans="3:4" hidden="1" x14ac:dyDescent="0.25">
      <c r="C180" s="17"/>
      <c r="D180" s="17"/>
    </row>
    <row r="181" spans="3:4" hidden="1" x14ac:dyDescent="0.25">
      <c r="C181" s="17"/>
      <c r="D181" s="17"/>
    </row>
    <row r="182" spans="3:4" hidden="1" x14ac:dyDescent="0.25">
      <c r="C182" s="17"/>
      <c r="D182" s="17"/>
    </row>
    <row r="183" spans="3:4" hidden="1" x14ac:dyDescent="0.25">
      <c r="C183" s="17"/>
      <c r="D183" s="17"/>
    </row>
    <row r="184" spans="3:4" hidden="1" x14ac:dyDescent="0.25">
      <c r="C184" s="17"/>
      <c r="D184" s="17"/>
    </row>
    <row r="185" spans="3:4" hidden="1" x14ac:dyDescent="0.25">
      <c r="C185" s="17"/>
      <c r="D185" s="17"/>
    </row>
    <row r="186" spans="3:4" hidden="1" x14ac:dyDescent="0.25">
      <c r="C186" s="17"/>
      <c r="D186" s="17"/>
    </row>
    <row r="187" spans="3:4" hidden="1" x14ac:dyDescent="0.25">
      <c r="C187" s="17"/>
      <c r="D187" s="17"/>
    </row>
    <row r="188" spans="3:4" hidden="1" x14ac:dyDescent="0.25">
      <c r="C188" s="17"/>
      <c r="D188" s="17"/>
    </row>
    <row r="189" spans="3:4" hidden="1" x14ac:dyDescent="0.25">
      <c r="C189" s="17"/>
      <c r="D189" s="17"/>
    </row>
    <row r="190" spans="3:4" hidden="1" x14ac:dyDescent="0.25">
      <c r="C190" s="17"/>
      <c r="D190" s="17"/>
    </row>
    <row r="191" spans="3:4" hidden="1" x14ac:dyDescent="0.25">
      <c r="C191" s="17"/>
      <c r="D191" s="17"/>
    </row>
    <row r="192" spans="3:4" hidden="1" x14ac:dyDescent="0.25">
      <c r="C192" s="17"/>
      <c r="D192" s="17"/>
    </row>
    <row r="193" spans="3:4" hidden="1" x14ac:dyDescent="0.25">
      <c r="C193" s="17"/>
      <c r="D193" s="17"/>
    </row>
    <row r="194" spans="3:4" hidden="1" x14ac:dyDescent="0.25">
      <c r="C194" s="17"/>
      <c r="D194" s="17"/>
    </row>
    <row r="195" spans="3:4" hidden="1" x14ac:dyDescent="0.25">
      <c r="C195" s="17"/>
      <c r="D195" s="17"/>
    </row>
    <row r="196" spans="3:4" hidden="1" x14ac:dyDescent="0.25">
      <c r="C196" s="17"/>
      <c r="D196" s="17"/>
    </row>
    <row r="197" spans="3:4" hidden="1" x14ac:dyDescent="0.25">
      <c r="C197" s="17"/>
      <c r="D197" s="17"/>
    </row>
    <row r="198" spans="3:4" hidden="1" x14ac:dyDescent="0.25">
      <c r="C198" s="17"/>
      <c r="D198" s="17"/>
    </row>
    <row r="199" spans="3:4" hidden="1" x14ac:dyDescent="0.25">
      <c r="C199" s="17"/>
      <c r="D199" s="17"/>
    </row>
    <row r="200" spans="3:4" hidden="1" x14ac:dyDescent="0.25">
      <c r="C200" s="17"/>
      <c r="D200" s="17"/>
    </row>
    <row r="201" spans="3:4" hidden="1" x14ac:dyDescent="0.25">
      <c r="C201" s="17"/>
      <c r="D201" s="17"/>
    </row>
    <row r="202" spans="3:4" hidden="1" x14ac:dyDescent="0.25">
      <c r="C202" s="17"/>
      <c r="D202" s="17"/>
    </row>
    <row r="203" spans="3:4" hidden="1" x14ac:dyDescent="0.25">
      <c r="C203" s="17"/>
      <c r="D203" s="17"/>
    </row>
    <row r="204" spans="3:4" hidden="1" x14ac:dyDescent="0.25">
      <c r="C204" s="17"/>
      <c r="D204" s="17"/>
    </row>
    <row r="205" spans="3:4" hidden="1" x14ac:dyDescent="0.25">
      <c r="C205" s="17"/>
      <c r="D205" s="17"/>
    </row>
    <row r="206" spans="3:4" hidden="1" x14ac:dyDescent="0.25">
      <c r="C206" s="17"/>
      <c r="D206" s="17"/>
    </row>
    <row r="207" spans="3:4" hidden="1" x14ac:dyDescent="0.25">
      <c r="C207" s="17"/>
      <c r="D207" s="17"/>
    </row>
    <row r="208" spans="3:4" hidden="1" x14ac:dyDescent="0.25">
      <c r="C208" s="17"/>
      <c r="D208" s="17"/>
    </row>
    <row r="209" spans="3:4" hidden="1" x14ac:dyDescent="0.25">
      <c r="C209" s="17"/>
      <c r="D209" s="17"/>
    </row>
    <row r="210" spans="3:4" hidden="1" x14ac:dyDescent="0.25">
      <c r="C210" s="17"/>
      <c r="D210" s="17"/>
    </row>
    <row r="211" spans="3:4" hidden="1" x14ac:dyDescent="0.25">
      <c r="C211" s="17"/>
      <c r="D211" s="17"/>
    </row>
    <row r="212" spans="3:4" hidden="1" x14ac:dyDescent="0.25">
      <c r="C212" s="17"/>
      <c r="D212" s="17"/>
    </row>
    <row r="213" spans="3:4" hidden="1" x14ac:dyDescent="0.25">
      <c r="C213" s="17"/>
      <c r="D213" s="17"/>
    </row>
    <row r="214" spans="3:4" hidden="1" x14ac:dyDescent="0.25">
      <c r="C214" s="17"/>
      <c r="D214" s="17"/>
    </row>
    <row r="215" spans="3:4" hidden="1" x14ac:dyDescent="0.25">
      <c r="C215" s="17"/>
      <c r="D215" s="17"/>
    </row>
    <row r="216" spans="3:4" hidden="1" x14ac:dyDescent="0.25">
      <c r="C216" s="17"/>
      <c r="D216" s="17"/>
    </row>
    <row r="217" spans="3:4" hidden="1" x14ac:dyDescent="0.25">
      <c r="C217" s="17"/>
      <c r="D217" s="17"/>
    </row>
    <row r="218" spans="3:4" hidden="1" x14ac:dyDescent="0.25">
      <c r="C218" s="17"/>
      <c r="D218" s="17"/>
    </row>
    <row r="219" spans="3:4" hidden="1" x14ac:dyDescent="0.25">
      <c r="C219" s="17"/>
      <c r="D219" s="17"/>
    </row>
    <row r="220" spans="3:4" hidden="1" x14ac:dyDescent="0.25">
      <c r="C220" s="17"/>
      <c r="D220" s="17"/>
    </row>
    <row r="221" spans="3:4" hidden="1" x14ac:dyDescent="0.25">
      <c r="C221" s="17"/>
      <c r="D221" s="17"/>
    </row>
    <row r="222" spans="3:4" hidden="1" x14ac:dyDescent="0.25">
      <c r="C222" s="17"/>
      <c r="D222" s="17"/>
    </row>
    <row r="223" spans="3:4" hidden="1" x14ac:dyDescent="0.25">
      <c r="C223" s="17"/>
      <c r="D223" s="17"/>
    </row>
    <row r="224" spans="3:4" hidden="1" x14ac:dyDescent="0.25">
      <c r="C224" s="17"/>
      <c r="D224" s="17"/>
    </row>
    <row r="225" spans="3:4" hidden="1" x14ac:dyDescent="0.25">
      <c r="C225" s="17"/>
      <c r="D225" s="17"/>
    </row>
    <row r="226" spans="3:4" hidden="1" x14ac:dyDescent="0.25">
      <c r="C226" s="17"/>
      <c r="D226" s="17"/>
    </row>
    <row r="227" spans="3:4" hidden="1" x14ac:dyDescent="0.25">
      <c r="C227" s="17"/>
      <c r="D227" s="17"/>
    </row>
    <row r="228" spans="3:4" hidden="1" x14ac:dyDescent="0.25">
      <c r="C228" s="17"/>
      <c r="D228" s="17"/>
    </row>
    <row r="229" spans="3:4" hidden="1" x14ac:dyDescent="0.25">
      <c r="C229" s="17"/>
      <c r="D229" s="17"/>
    </row>
    <row r="230" spans="3:4" hidden="1" x14ac:dyDescent="0.25">
      <c r="C230" s="17"/>
      <c r="D230" s="17"/>
    </row>
    <row r="231" spans="3:4" hidden="1" x14ac:dyDescent="0.25">
      <c r="C231" s="17"/>
      <c r="D231" s="17"/>
    </row>
    <row r="232" spans="3:4" hidden="1" x14ac:dyDescent="0.25">
      <c r="C232" s="17"/>
      <c r="D232" s="17"/>
    </row>
    <row r="233" spans="3:4" hidden="1" x14ac:dyDescent="0.25">
      <c r="C233" s="17"/>
      <c r="D233" s="17"/>
    </row>
    <row r="234" spans="3:4" hidden="1" x14ac:dyDescent="0.25">
      <c r="C234" s="17"/>
      <c r="D234" s="17"/>
    </row>
    <row r="235" spans="3:4" hidden="1" x14ac:dyDescent="0.25">
      <c r="C235" s="17"/>
      <c r="D235" s="17"/>
    </row>
    <row r="236" spans="3:4" hidden="1" x14ac:dyDescent="0.25">
      <c r="C236" s="17"/>
      <c r="D236" s="17"/>
    </row>
    <row r="237" spans="3:4" hidden="1" x14ac:dyDescent="0.25">
      <c r="C237" s="17"/>
      <c r="D237" s="17"/>
    </row>
    <row r="238" spans="3:4" hidden="1" x14ac:dyDescent="0.25">
      <c r="C238" s="17"/>
      <c r="D238" s="17"/>
    </row>
    <row r="239" spans="3:4" hidden="1" x14ac:dyDescent="0.25">
      <c r="C239" s="17"/>
      <c r="D239" s="17"/>
    </row>
    <row r="240" spans="3:4" hidden="1" x14ac:dyDescent="0.25">
      <c r="C240" s="17"/>
      <c r="D240" s="17"/>
    </row>
    <row r="241" spans="3:4" hidden="1" x14ac:dyDescent="0.25">
      <c r="C241" s="17"/>
      <c r="D241" s="17"/>
    </row>
    <row r="242" spans="3:4" hidden="1" x14ac:dyDescent="0.25">
      <c r="C242" s="17"/>
      <c r="D242" s="17"/>
    </row>
    <row r="243" spans="3:4" hidden="1" x14ac:dyDescent="0.25">
      <c r="C243" s="17"/>
      <c r="D243" s="17"/>
    </row>
    <row r="244" spans="3:4" hidden="1" x14ac:dyDescent="0.25">
      <c r="C244" s="17"/>
      <c r="D244" s="17"/>
    </row>
    <row r="245" spans="3:4" hidden="1" x14ac:dyDescent="0.25">
      <c r="C245" s="17"/>
      <c r="D245" s="17"/>
    </row>
    <row r="246" spans="3:4" hidden="1" x14ac:dyDescent="0.25">
      <c r="C246" s="17"/>
      <c r="D246" s="17"/>
    </row>
    <row r="247" spans="3:4" hidden="1" x14ac:dyDescent="0.25">
      <c r="C247" s="17"/>
      <c r="D247" s="17"/>
    </row>
    <row r="248" spans="3:4" hidden="1" x14ac:dyDescent="0.25">
      <c r="C248" s="17"/>
      <c r="D248" s="17"/>
    </row>
    <row r="249" spans="3:4" hidden="1" x14ac:dyDescent="0.25">
      <c r="C249" s="17"/>
      <c r="D249" s="17"/>
    </row>
    <row r="250" spans="3:4" hidden="1" x14ac:dyDescent="0.25">
      <c r="C250" s="17"/>
      <c r="D250" s="17"/>
    </row>
    <row r="251" spans="3:4" hidden="1" x14ac:dyDescent="0.25">
      <c r="C251" s="17"/>
      <c r="D251" s="17"/>
    </row>
    <row r="252" spans="3:4" hidden="1" x14ac:dyDescent="0.25">
      <c r="C252" s="17"/>
      <c r="D252" s="17"/>
    </row>
    <row r="253" spans="3:4" hidden="1" x14ac:dyDescent="0.25">
      <c r="C253" s="17"/>
      <c r="D253" s="17"/>
    </row>
    <row r="254" spans="3:4" hidden="1" x14ac:dyDescent="0.25">
      <c r="C254" s="17"/>
      <c r="D254" s="17"/>
    </row>
    <row r="255" spans="3:4" hidden="1" x14ac:dyDescent="0.25">
      <c r="C255" s="17"/>
      <c r="D255" s="17"/>
    </row>
    <row r="256" spans="3:4" hidden="1" x14ac:dyDescent="0.25">
      <c r="C256" s="17"/>
      <c r="D256" s="17"/>
    </row>
    <row r="257" spans="3:4" hidden="1" x14ac:dyDescent="0.25">
      <c r="C257" s="17"/>
      <c r="D257" s="17"/>
    </row>
    <row r="258" spans="3:4" hidden="1" x14ac:dyDescent="0.25">
      <c r="C258" s="17"/>
      <c r="D258" s="17"/>
    </row>
    <row r="259" spans="3:4" hidden="1" x14ac:dyDescent="0.25">
      <c r="C259" s="17"/>
      <c r="D259" s="17"/>
    </row>
    <row r="260" spans="3:4" hidden="1" x14ac:dyDescent="0.25">
      <c r="C260" s="17"/>
      <c r="D260" s="17"/>
    </row>
    <row r="261" spans="3:4" hidden="1" x14ac:dyDescent="0.25">
      <c r="C261" s="17"/>
      <c r="D261" s="17"/>
    </row>
    <row r="262" spans="3:4" hidden="1" x14ac:dyDescent="0.25">
      <c r="C262" s="17"/>
      <c r="D262" s="17"/>
    </row>
    <row r="263" spans="3:4" hidden="1" x14ac:dyDescent="0.25">
      <c r="C263" s="17"/>
      <c r="D263" s="17"/>
    </row>
    <row r="264" spans="3:4" hidden="1" x14ac:dyDescent="0.25">
      <c r="C264" s="17"/>
      <c r="D264" s="17"/>
    </row>
    <row r="265" spans="3:4" hidden="1" x14ac:dyDescent="0.25">
      <c r="C265" s="17"/>
      <c r="D265" s="17"/>
    </row>
    <row r="266" spans="3:4" hidden="1" x14ac:dyDescent="0.25">
      <c r="C266" s="17"/>
      <c r="D266" s="17"/>
    </row>
    <row r="267" spans="3:4" hidden="1" x14ac:dyDescent="0.25">
      <c r="C267" s="17"/>
      <c r="D267" s="17"/>
    </row>
    <row r="268" spans="3:4" hidden="1" x14ac:dyDescent="0.25">
      <c r="C268" s="17"/>
      <c r="D268" s="17"/>
    </row>
    <row r="269" spans="3:4" hidden="1" x14ac:dyDescent="0.25">
      <c r="C269" s="17"/>
      <c r="D269" s="17"/>
    </row>
    <row r="270" spans="3:4" hidden="1" x14ac:dyDescent="0.25">
      <c r="C270" s="17"/>
      <c r="D270" s="17"/>
    </row>
    <row r="271" spans="3:4" hidden="1" x14ac:dyDescent="0.25">
      <c r="C271" s="17"/>
      <c r="D271" s="17"/>
    </row>
    <row r="272" spans="3:4" x14ac:dyDescent="0.2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defaultColWidth="0" defaultRowHeight="15" zeroHeight="1" x14ac:dyDescent="0.25"/>
  <cols>
    <col min="1" max="1" width="9.140625" customWidth="1"/>
    <col min="2" max="2" width="0" hidden="1" customWidth="1"/>
    <col min="3" max="3" width="99.7109375" customWidth="1"/>
    <col min="4" max="4" width="0" hidden="1" customWidth="1"/>
    <col min="5" max="5" width="9.140625" customWidth="1"/>
    <col min="6" max="15" width="9.140625" hidden="1" customWidth="1"/>
    <col min="16" max="17" width="97.28515625" hidden="1" customWidth="1"/>
    <col min="18" max="18" width="4" hidden="1" customWidth="1"/>
    <col min="19" max="19" width="97.28515625" style="87" hidden="1" customWidth="1"/>
    <col min="20" max="20" width="97.28515625" hidden="1" customWidth="1"/>
    <col min="21" max="16384" width="9.140625" hidden="1"/>
  </cols>
  <sheetData>
    <row r="1" spans="2:20" x14ac:dyDescent="0.25">
      <c r="H1" t="s">
        <v>239</v>
      </c>
      <c r="I1">
        <v>1</v>
      </c>
    </row>
    <row r="2" spans="2:20" ht="15.75" thickBot="1" x14ac:dyDescent="0.3">
      <c r="H2" t="s">
        <v>240</v>
      </c>
      <c r="I2">
        <v>2</v>
      </c>
    </row>
    <row r="3" spans="2:20" ht="15.75" thickTop="1" x14ac:dyDescent="0.25">
      <c r="B3" t="s">
        <v>789</v>
      </c>
      <c r="C3" s="147" t="s">
        <v>790</v>
      </c>
      <c r="E3" s="317" t="s">
        <v>239</v>
      </c>
      <c r="I3">
        <v>3</v>
      </c>
    </row>
    <row r="4" spans="2:20" ht="15.75" thickBot="1" x14ac:dyDescent="0.3">
      <c r="B4" t="s">
        <v>791</v>
      </c>
      <c r="C4" s="147" t="s">
        <v>792</v>
      </c>
      <c r="E4" s="318"/>
      <c r="H4" t="s">
        <v>793</v>
      </c>
      <c r="I4">
        <f>IF(E3="",3,VLOOKUP(E3,$H$1:$I$3,2,FALSE))</f>
        <v>1</v>
      </c>
    </row>
    <row r="5" spans="2:20" ht="15.75" thickTop="1" x14ac:dyDescent="0.25">
      <c r="C5" s="129"/>
      <c r="P5" s="148"/>
      <c r="Q5" s="148"/>
      <c r="S5" s="129"/>
    </row>
    <row r="6" spans="2:20" ht="114" customHeight="1" x14ac:dyDescent="0.25">
      <c r="C6" s="129"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48" t="s">
        <v>794</v>
      </c>
      <c r="Q6" s="148" t="s">
        <v>795</v>
      </c>
      <c r="S6" s="129" t="s">
        <v>796</v>
      </c>
      <c r="T6" s="129" t="s">
        <v>797</v>
      </c>
    </row>
    <row r="7" spans="2:20" ht="84.75" customHeight="1" x14ac:dyDescent="0.25">
      <c r="C7" s="129"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48" t="s">
        <v>798</v>
      </c>
      <c r="Q7" s="148" t="s">
        <v>799</v>
      </c>
      <c r="S7" s="129" t="s">
        <v>800</v>
      </c>
      <c r="T7" s="129" t="s">
        <v>801</v>
      </c>
    </row>
    <row r="8" spans="2:20" ht="39" customHeight="1" x14ac:dyDescent="0.25">
      <c r="C8" s="129" t="str">
        <f t="shared" si="0"/>
        <v>Dans cet excel, tous les champs à remplir sont indiqués en jaune. Et seuls ces champs pourront être sélectionnés.</v>
      </c>
      <c r="P8" s="148" t="s">
        <v>802</v>
      </c>
      <c r="Q8" s="148" t="s">
        <v>803</v>
      </c>
      <c r="S8" s="129" t="s">
        <v>804</v>
      </c>
      <c r="T8" s="129" t="s">
        <v>805</v>
      </c>
    </row>
    <row r="9" spans="2:20" ht="57.75" customHeight="1" x14ac:dyDescent="0.25">
      <c r="C9" s="198"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48" t="s">
        <v>806</v>
      </c>
      <c r="Q9" s="148" t="s">
        <v>807</v>
      </c>
      <c r="S9" s="129" t="s">
        <v>808</v>
      </c>
      <c r="T9" s="129" t="s">
        <v>809</v>
      </c>
    </row>
    <row r="10" spans="2:20" ht="42" customHeight="1" x14ac:dyDescent="0.25">
      <c r="C10" s="129" t="str">
        <f t="shared" si="0"/>
        <v xml:space="preserve">Les onglets à la gauche de l’onglet « INFO » (T1, T2 - CG-BK, T3 CA-AK et T4 – CO-OK) concernent les données au niveau du programme entier. </v>
      </c>
      <c r="P10" s="148" t="s">
        <v>810</v>
      </c>
      <c r="Q10" s="148" t="s">
        <v>811</v>
      </c>
      <c r="S10" s="129" t="s">
        <v>812</v>
      </c>
      <c r="T10" s="129" t="s">
        <v>813</v>
      </c>
    </row>
    <row r="11" spans="2:20" ht="42" customHeight="1" x14ac:dyDescent="0.25">
      <c r="C11" s="129" t="str">
        <f t="shared" si="0"/>
        <v>T1 et T4 – CO-OK indiquent automatiquement les consolidations au niveau des données introduites dans les onglets par outcome numérotés 1 à 25.</v>
      </c>
      <c r="P11" s="148" t="s">
        <v>814</v>
      </c>
      <c r="Q11" s="148" t="s">
        <v>815</v>
      </c>
      <c r="S11" s="129" t="s">
        <v>816</v>
      </c>
      <c r="T11" s="129" t="s">
        <v>817</v>
      </c>
    </row>
    <row r="12" spans="2:20" ht="43.5" customHeight="1" x14ac:dyDescent="0.25">
      <c r="C12" s="129" t="str">
        <f t="shared" si="0"/>
        <v>Par contre, T2 – CG-CK et T3 – CA-AK doivent bien être remplis manuellement, vu qu'il s'agit là d’informations globalisées qui ne sont pas introduites au niveau des outcomes.</v>
      </c>
      <c r="P12" s="148" t="s">
        <v>818</v>
      </c>
      <c r="Q12" s="148" t="s">
        <v>819</v>
      </c>
      <c r="S12" s="129" t="s">
        <v>820</v>
      </c>
      <c r="T12" s="129" t="s">
        <v>821</v>
      </c>
    </row>
    <row r="13" spans="2:20" ht="42" customHeight="1" x14ac:dyDescent="0.25">
      <c r="C13" s="129" t="str">
        <f t="shared" si="0"/>
        <v>L'onglet "SUB" contiendra alors une première indication du montant de la subvention et de sa répartition annuelle.</v>
      </c>
      <c r="P13" s="148" t="s">
        <v>822</v>
      </c>
      <c r="Q13" s="148" t="s">
        <v>823</v>
      </c>
      <c r="S13" s="129" t="s">
        <v>824</v>
      </c>
      <c r="T13" s="129" t="s">
        <v>825</v>
      </c>
    </row>
    <row r="14" spans="2:20" ht="60" customHeight="1" x14ac:dyDescent="0.25">
      <c r="C14" s="198"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48" t="s">
        <v>826</v>
      </c>
      <c r="Q14" s="148" t="s">
        <v>827</v>
      </c>
      <c r="S14" s="129" t="s">
        <v>828</v>
      </c>
      <c r="T14" s="129" t="s">
        <v>829</v>
      </c>
    </row>
    <row r="15" spans="2:20" ht="46.5" customHeight="1" x14ac:dyDescent="0.25">
      <c r="C15" s="198" t="str">
        <f t="shared" si="0"/>
        <v>C'est pourquoi cet excel identifie immédiatement dans l'aperçu "Prg" les IATI Activity IDs, que nous vous conseillons fermement d’utiliser sur le Portail !</v>
      </c>
      <c r="P15" s="148" t="s">
        <v>830</v>
      </c>
      <c r="Q15" s="148" t="s">
        <v>831</v>
      </c>
      <c r="S15" s="129" t="s">
        <v>832</v>
      </c>
      <c r="T15" s="129" t="s">
        <v>833</v>
      </c>
    </row>
    <row r="16" spans="2:20" ht="69.75" customHeight="1" x14ac:dyDescent="0.25">
      <c r="C16" s="129"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48" t="s">
        <v>834</v>
      </c>
      <c r="Q16" s="148" t="s">
        <v>835</v>
      </c>
      <c r="S16" s="129" t="s">
        <v>836</v>
      </c>
      <c r="T16" s="129" t="s">
        <v>837</v>
      </c>
    </row>
    <row r="17" spans="3:20" ht="45.75" customHeight="1" x14ac:dyDescent="0.25">
      <c r="C17" s="129" t="str">
        <f t="shared" si="0"/>
        <v>Si votre programme consiste de plus que 25 outcome, veuillez bien nous le signaler, par un mail à antoon.vanbroeckhoven@diplobel.fed.be, et nous vous ferons parvenir avec plaisir une version adaptée !</v>
      </c>
      <c r="P17" s="148" t="s">
        <v>838</v>
      </c>
      <c r="Q17" s="149"/>
      <c r="S17" s="129" t="s">
        <v>839</v>
      </c>
      <c r="T17" s="129" t="s">
        <v>840</v>
      </c>
    </row>
    <row r="18" spans="3:20" ht="40.5" customHeight="1" x14ac:dyDescent="0.25">
      <c r="C18" s="129" t="str">
        <f t="shared" si="0"/>
        <v>N'hésitez pas de nous signaler des problèmes ou de nous communiquer des observations, 
par un mail à antoon.vanbroeckhoven@diplobel.fed.be.</v>
      </c>
      <c r="P18" s="148" t="s">
        <v>841</v>
      </c>
      <c r="Q18" s="88"/>
      <c r="S18" s="129" t="s">
        <v>842</v>
      </c>
      <c r="T18" s="129" t="s">
        <v>843</v>
      </c>
    </row>
    <row r="19" spans="3:20" hidden="1" x14ac:dyDescent="0.25">
      <c r="P19" s="148"/>
      <c r="Q19" s="88"/>
    </row>
    <row r="20" spans="3:20" hidden="1" x14ac:dyDescent="0.25">
      <c r="P20" s="88"/>
      <c r="Q20" s="88"/>
    </row>
    <row r="21" spans="3:20" hidden="1" x14ac:dyDescent="0.25">
      <c r="P21" s="88"/>
      <c r="Q21" s="88"/>
    </row>
    <row r="22" spans="3:20" hidden="1" x14ac:dyDescent="0.25">
      <c r="P22" s="88"/>
      <c r="Q22" s="88"/>
    </row>
    <row r="23" spans="3:20" hidden="1" x14ac:dyDescent="0.25">
      <c r="P23" s="88"/>
    </row>
    <row r="24" spans="3:20" hidden="1" x14ac:dyDescent="0.25">
      <c r="P24" s="88"/>
    </row>
    <row r="25" spans="3:20" hidden="1" x14ac:dyDescent="0.25">
      <c r="P25" s="8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I21" sqref="I21"/>
    </sheetView>
  </sheetViews>
  <sheetFormatPr defaultColWidth="0" defaultRowHeight="15" zeroHeight="1" x14ac:dyDescent="0.25"/>
  <cols>
    <col min="1" max="1" width="17" customWidth="1"/>
    <col min="2" max="2" width="2.42578125" hidden="1" customWidth="1"/>
    <col min="3" max="3" width="42.7109375" customWidth="1"/>
    <col min="4" max="4" width="24.5703125" customWidth="1"/>
    <col min="5" max="5" width="20.7109375" customWidth="1"/>
    <col min="6" max="6" width="10.7109375" customWidth="1"/>
    <col min="7" max="7" width="19.5703125" customWidth="1"/>
    <col min="8" max="8" width="14.5703125" customWidth="1"/>
    <col min="9" max="9" width="42.7109375" customWidth="1"/>
    <col min="10" max="16384" width="9.140625" hidden="1"/>
  </cols>
  <sheetData>
    <row r="1" spans="1:20" x14ac:dyDescent="0.25">
      <c r="A1" t="str">
        <f>IF(lang=1,labels!E64,IF(lang=2,labels!F64,"set lang"))</f>
        <v>Acteur abbr.</v>
      </c>
      <c r="C1" s="93" t="s">
        <v>844</v>
      </c>
      <c r="D1" t="str">
        <f>IF(C1="","",VLOOKUP(C1,Table2[[abbr]:[statut]],2,FALSE))</f>
        <v>OSCCMO</v>
      </c>
      <c r="E1" s="319" t="str">
        <f>IF(D1="AIIA",IF(lang=2,"Admin kosten of structuurkosten?","Coûts admin ou coûts de structure ?"),"")</f>
        <v/>
      </c>
      <c r="F1" s="320"/>
      <c r="G1" s="320"/>
      <c r="H1" s="93"/>
      <c r="K1" t="b">
        <f>D1="AIIA"</f>
        <v>0</v>
      </c>
      <c r="M1" t="str">
        <f>IF(D1="AIIA","AIIA",IF(lang=1,"OSCCMOF","OSCCMON"))</f>
        <v>OSCCMOF</v>
      </c>
      <c r="O1" t="s">
        <v>845</v>
      </c>
      <c r="P1" t="s">
        <v>846</v>
      </c>
      <c r="Q1" t="s">
        <v>847</v>
      </c>
      <c r="R1" t="s">
        <v>848</v>
      </c>
      <c r="S1" t="s">
        <v>849</v>
      </c>
      <c r="T1" t="s">
        <v>850</v>
      </c>
    </row>
    <row r="2" spans="1:20" x14ac:dyDescent="0.25">
      <c r="A2" t="str">
        <f>IF(lang=1,labels!E65,IF(lang=2,labels!F65,"set lang"))</f>
        <v>Acteur nom</v>
      </c>
      <c r="C2" t="str">
        <f>IF(C1="","",VLOOKUP(C1,Table2[[abbr]:[name2]],8,FALSE))</f>
        <v>Oxfam Solidariteit 
Oxfam Solidarité</v>
      </c>
      <c r="O2" t="s">
        <v>851</v>
      </c>
      <c r="P2" t="s">
        <v>852</v>
      </c>
      <c r="Q2" t="s">
        <v>853</v>
      </c>
      <c r="R2" t="s">
        <v>854</v>
      </c>
    </row>
    <row r="3" spans="1:20" x14ac:dyDescent="0.25">
      <c r="A3" t="str">
        <f>IF(lang=1,labels!E66,IF(lang=2,labels!F66,"set lang"))</f>
        <v>IATI org-ID</v>
      </c>
      <c r="C3" t="str">
        <f>IF(C1="","",VLOOKUP(C1,Table2[[abbr]:[name2]],6,FALSE))</f>
        <v>BE-BCE_KBO-0408643875</v>
      </c>
      <c r="O3" t="s">
        <v>855</v>
      </c>
    </row>
    <row r="4" spans="1:20" x14ac:dyDescent="0.25">
      <c r="A4" t="str">
        <f>IF(lang=1,labels!E67,IF(lang=2,labels!F67,"set lang"))</f>
        <v>Titre programme</v>
      </c>
      <c r="C4" s="93" t="s">
        <v>856</v>
      </c>
    </row>
    <row r="5" spans="1:20" x14ac:dyDescent="0.25">
      <c r="A5" t="str">
        <f>IF(lang=1,labels!E68,IF(lang=2,labels!F68,"set lang"))</f>
        <v>Prg commun ?</v>
      </c>
      <c r="C5" s="151" t="s">
        <v>857</v>
      </c>
      <c r="O5" t="s">
        <v>858</v>
      </c>
    </row>
    <row r="6" spans="1:20" ht="60" x14ac:dyDescent="0.25">
      <c r="A6" s="87" t="str">
        <f>IF(lang=1,labels!E69,IF(lang=2,labels!F69,"set lang"))</f>
        <v>Objectifs spécifiques ("outcomes")</v>
      </c>
      <c r="C6" t="s">
        <v>859</v>
      </c>
      <c r="D6" s="87" t="str">
        <f>IF(lang=1,labels!E70,IF(lang=2,labels!F70,"set lang"))</f>
        <v>Titre court (pour identification facile)</v>
      </c>
      <c r="E6" s="87" t="str">
        <f>IF(lang=1,labels!E71&amp;CHAR(10)&amp;CHAR(13)&amp;O6,IF(lang=2,labels!F71&amp;CHAR(10)&amp;CHAR(13)&amp;O5,"set lang"))</f>
        <v>Pays/Région
_x000D_Les régions ("R-") se trouvent tout en bas de la liste.</v>
      </c>
      <c r="F6" t="str">
        <f>IF(lang=1,labels!E72,IF(lang=2,labels!F72,"set lang"))</f>
        <v>CSC</v>
      </c>
      <c r="G6" t="str">
        <f>IF(lang=1,labels!E73,IF(lang=2,labels!F73,"set lang"))</f>
        <v>CSC check</v>
      </c>
      <c r="H6" s="87" t="str">
        <f>IF(lang=1,labels!E74,IF(lang=2,labels!F74,"set lang"))</f>
        <v>Total coûts opérationnels</v>
      </c>
      <c r="I6" t="s">
        <v>860</v>
      </c>
      <c r="O6" t="s">
        <v>861</v>
      </c>
    </row>
    <row r="7" spans="1:20" x14ac:dyDescent="0.25">
      <c r="A7">
        <v>1</v>
      </c>
      <c r="B7">
        <v>1</v>
      </c>
      <c r="C7" t="str">
        <f>IF(OR(D7="",E7=""),"",C$3&amp;"-prg2022-"&amp;$A7&amp;"-"&amp;VLOOKUP($E7,Table4[[EN]:[ISO]],8,FALSE))</f>
        <v>BE-BCE_KBO-0408643875-prg2022-1-BE</v>
      </c>
      <c r="D7" s="93" t="s">
        <v>862</v>
      </c>
      <c r="E7" s="93" t="s">
        <v>863</v>
      </c>
      <c r="F7" s="93" t="s">
        <v>851</v>
      </c>
      <c r="G7" s="73" t="str">
        <f>IF(E7="","",IF(AND(VLOOKUP(E7,Table4[[EN]:[CSC]],2,FALSE)="N",F7="geo"),"No geo CSC possible !",""))</f>
        <v/>
      </c>
      <c r="H7" s="111">
        <f ca="1">SUMIFS(Table1[amount],Table1[sheet],A7,Table1[item],"TCO",Table1[year],"TOTAL")</f>
        <v>3022378.3416272495</v>
      </c>
      <c r="I7" s="93" t="s">
        <v>864</v>
      </c>
      <c r="J7">
        <f>IF(E7="","",VLOOKUP($E7,Table4[[EN]:[ctry]],10,FALSE))</f>
        <v>1</v>
      </c>
    </row>
    <row r="8" spans="1:20" x14ac:dyDescent="0.25">
      <c r="A8">
        <v>2</v>
      </c>
      <c r="B8">
        <v>2</v>
      </c>
      <c r="C8" t="str">
        <f>IF(OR(D8="",E8=""),"",C$3&amp;"-prg2022-"&amp;$A8&amp;"-"&amp;VLOOKUP($E8,Table4[[EN]:[ISO]],8,FALSE))</f>
        <v>BE-BCE_KBO-0408643875-prg2022-2-BE</v>
      </c>
      <c r="D8" s="93" t="s">
        <v>865</v>
      </c>
      <c r="E8" s="93" t="s">
        <v>863</v>
      </c>
      <c r="F8" s="93" t="s">
        <v>851</v>
      </c>
      <c r="G8" s="73" t="str">
        <f>IF(E8="","",IF(AND(VLOOKUP(E8,Table4[[EN]:[CSC]],2,FALSE)="N",F8="geo"),"No geo CSC possible !",""))</f>
        <v/>
      </c>
      <c r="H8" s="111">
        <f ca="1">SUMIFS(Table1[amount],Table1[sheet],A8,Table1[item],"TCO",Table1[year],"TOTAL")</f>
        <v>1710461.4999999991</v>
      </c>
      <c r="I8" s="93" t="s">
        <v>866</v>
      </c>
      <c r="J8">
        <f>IF(E8="","",VLOOKUP($E8,Table4[[EN]:[ctry]],10,FALSE))</f>
        <v>1</v>
      </c>
    </row>
    <row r="9" spans="1:20" x14ac:dyDescent="0.25">
      <c r="A9">
        <v>3</v>
      </c>
      <c r="B9">
        <v>3</v>
      </c>
      <c r="C9" t="str">
        <f>IF(OR(D9="",E9=""),"",C$3&amp;"-prg2022-"&amp;$A9&amp;"-"&amp;VLOOKUP($E9,Table4[[EN]:[ISO]],8,FALSE))</f>
        <v>BE-BCE_KBO-0408643875-prg2022-3-BF</v>
      </c>
      <c r="D9" s="93" t="s">
        <v>867</v>
      </c>
      <c r="E9" s="93" t="s">
        <v>868</v>
      </c>
      <c r="F9" s="93" t="s">
        <v>851</v>
      </c>
      <c r="G9" s="73" t="str">
        <f>IF(E9="","",IF(AND(VLOOKUP(E9,Table4[[EN]:[CSC]],2,FALSE)="N",F9="geo"),"No geo CSC possible !",""))</f>
        <v/>
      </c>
      <c r="H9" s="111">
        <f ca="1">SUMIFS(Table1[amount],Table1[sheet],A9,Table1[item],"TCO",Table1[year],"TOTAL")</f>
        <v>3884578.9099999997</v>
      </c>
      <c r="I9" s="93" t="s">
        <v>869</v>
      </c>
      <c r="J9">
        <f>IF(E9="","",VLOOKUP($E9,Table4[[EN]:[ctry]],10,FALSE))</f>
        <v>1</v>
      </c>
    </row>
    <row r="10" spans="1:20" x14ac:dyDescent="0.25">
      <c r="A10">
        <v>4</v>
      </c>
      <c r="B10">
        <v>4</v>
      </c>
      <c r="C10" t="str">
        <f>IF(OR(D10="",E10=""),"",C$3&amp;"-prg2022-"&amp;$A10&amp;"-"&amp;VLOOKUP($E10,Table4[[EN]:[ISO]],8,FALSE))</f>
        <v>BE-BCE_KBO-0408643875-prg2022-4-ML</v>
      </c>
      <c r="D10" s="93" t="s">
        <v>870</v>
      </c>
      <c r="E10" s="93" t="s">
        <v>871</v>
      </c>
      <c r="F10" s="93" t="s">
        <v>851</v>
      </c>
      <c r="G10" s="73" t="str">
        <f>IF(E10="","",IF(AND(VLOOKUP(E10,Table4[[EN]:[CSC]],2,FALSE)="N",F10="geo"),"No geo CSC possible !",""))</f>
        <v/>
      </c>
      <c r="H10" s="111">
        <f ca="1">SUMIFS(Table1[amount],Table1[sheet],A10,Table1[item],"TCO",Table1[year],"TOTAL")</f>
        <v>3361783.2153227162</v>
      </c>
      <c r="I10" s="93" t="s">
        <v>872</v>
      </c>
      <c r="J10">
        <f>IF(E10="","",VLOOKUP($E10,Table4[[EN]:[ctry]],10,FALSE))</f>
        <v>1</v>
      </c>
    </row>
    <row r="11" spans="1:20" x14ac:dyDescent="0.25">
      <c r="A11">
        <v>5</v>
      </c>
      <c r="B11">
        <v>5</v>
      </c>
      <c r="C11" t="str">
        <f>IF(OR(D11="",E11=""),"",C$3&amp;"-prg2022-"&amp;$A11&amp;"-"&amp;VLOOKUP($E11,Table4[[EN]:[ISO]],8,FALSE))</f>
        <v>BE-BCE_KBO-0408643875-prg2022-5-NE</v>
      </c>
      <c r="D11" s="93" t="s">
        <v>873</v>
      </c>
      <c r="E11" s="93" t="s">
        <v>874</v>
      </c>
      <c r="F11" s="93" t="s">
        <v>851</v>
      </c>
      <c r="G11" s="73" t="str">
        <f>IF(E11="","",IF(AND(VLOOKUP(E11,Table4[[EN]:[CSC]],2,FALSE)="N",F11="geo"),"No geo CSC possible !",""))</f>
        <v/>
      </c>
      <c r="H11" s="111">
        <f ca="1">SUMIFS(Table1[amount],Table1[sheet],A11,Table1[item],"TCO",Table1[year],"TOTAL")</f>
        <v>2753451.7538111997</v>
      </c>
      <c r="I11" s="93" t="s">
        <v>875</v>
      </c>
      <c r="J11">
        <f>IF(E11="","",VLOOKUP($E11,Table4[[EN]:[ctry]],10,FALSE))</f>
        <v>1</v>
      </c>
    </row>
    <row r="12" spans="1:20" x14ac:dyDescent="0.25">
      <c r="A12">
        <v>6</v>
      </c>
      <c r="B12">
        <v>6</v>
      </c>
      <c r="C12" t="str">
        <f>IF(OR(D12="",E12=""),"",C$3&amp;"-prg2022-"&amp;$A12&amp;"-"&amp;VLOOKUP($E12,Table4[[EN]:[ISO]],8,FALSE))</f>
        <v>BE-BCE_KBO-0408643875-prg2022-6-PS</v>
      </c>
      <c r="D12" s="93" t="s">
        <v>876</v>
      </c>
      <c r="E12" s="93" t="s">
        <v>877</v>
      </c>
      <c r="F12" s="93" t="s">
        <v>851</v>
      </c>
      <c r="G12" s="73" t="str">
        <f>IF(E12="","",IF(AND(VLOOKUP(E12,Table4[[EN]:[CSC]],2,FALSE)="N",F12="geo"),"No geo CSC possible !",""))</f>
        <v/>
      </c>
      <c r="H12" s="111">
        <f ca="1">SUMIFS(Table1[amount],Table1[sheet],A12,Table1[item],"TCO",Table1[year],"TOTAL")</f>
        <v>3149123.2538436106</v>
      </c>
      <c r="I12" s="93" t="s">
        <v>878</v>
      </c>
      <c r="J12">
        <f>IF(E12="","",VLOOKUP($E12,Table4[[EN]:[ctry]],10,FALSE))</f>
        <v>1</v>
      </c>
    </row>
    <row r="13" spans="1:20" x14ac:dyDescent="0.25">
      <c r="A13">
        <v>7</v>
      </c>
      <c r="B13">
        <v>7</v>
      </c>
      <c r="C13" t="str">
        <f>IF(OR(D13="",E13=""),"",C$3&amp;"-prg2022-"&amp;$A13&amp;"-"&amp;VLOOKUP($E13,Table4[[EN]:[ISO]],8,FALSE))</f>
        <v>BE-BCE_KBO-0408643875-prg2022-7-CD</v>
      </c>
      <c r="D13" s="93" t="s">
        <v>879</v>
      </c>
      <c r="E13" s="93" t="s">
        <v>880</v>
      </c>
      <c r="F13" s="93" t="s">
        <v>851</v>
      </c>
      <c r="G13" s="73" t="str">
        <f>IF(E13="","",IF(AND(VLOOKUP(E13,Table4[[EN]:[CSC]],2,FALSE)="N",F13="geo"),"No geo CSC possible !",""))</f>
        <v/>
      </c>
      <c r="H13" s="111">
        <f ca="1">SUMIFS(Table1[amount],Table1[sheet],A13,Table1[item],"TCO",Table1[year],"TOTAL")</f>
        <v>2240074.0490909093</v>
      </c>
      <c r="I13" s="93" t="s">
        <v>881</v>
      </c>
      <c r="J13">
        <f>IF(E13="","",VLOOKUP($E13,Table4[[EN]:[ctry]],10,FALSE))</f>
        <v>1</v>
      </c>
    </row>
    <row r="14" spans="1:20" x14ac:dyDescent="0.25">
      <c r="A14">
        <v>8</v>
      </c>
      <c r="B14">
        <v>8</v>
      </c>
      <c r="C14" t="str">
        <f>IF(OR(D14="",E14=""),"",C$3&amp;"-prg2022-"&amp;$A14&amp;"-"&amp;VLOOKUP($E14,Table4[[EN]:[ISO]],8,FALSE))</f>
        <v>BE-BCE_KBO-0408643875-prg2022-8-RAsE</v>
      </c>
      <c r="D14" s="93" t="s">
        <v>882</v>
      </c>
      <c r="E14" s="93" t="s">
        <v>883</v>
      </c>
      <c r="F14" s="93" t="s">
        <v>855</v>
      </c>
      <c r="G14" s="73" t="str">
        <f>IF(E14="","",IF(AND(VLOOKUP(E14,Table4[[EN]:[CSC]],2,FALSE)="N",F14="geo"),"No geo CSC possible !",""))</f>
        <v/>
      </c>
      <c r="H14" s="111">
        <f ca="1">SUMIFS(Table1[amount],Table1[sheet],A14,Table1[item],"TCO",Table1[year],"TOTAL")</f>
        <v>11515219.359999999</v>
      </c>
      <c r="I14" s="93" t="s">
        <v>884</v>
      </c>
      <c r="J14">
        <f>IF(E14="","",VLOOKUP($E14,Table4[[EN]:[ctry]],10,FALSE))</f>
        <v>2</v>
      </c>
    </row>
    <row r="15" spans="1:20" x14ac:dyDescent="0.25">
      <c r="A15">
        <v>9</v>
      </c>
      <c r="B15">
        <v>9</v>
      </c>
      <c r="C15" t="str">
        <f>IF(OR(D15="",E15=""),"",C$3&amp;"-prg2022-"&amp;$A15&amp;"-"&amp;VLOOKUP($E15,Table4[[EN]:[ISO]],8,FALSE))</f>
        <v/>
      </c>
      <c r="D15" s="93"/>
      <c r="E15" s="93"/>
      <c r="F15" s="93"/>
      <c r="G15" s="73" t="str">
        <f>IF(E15="","",IF(AND(VLOOKUP(E15,Table4[[EN]:[CSC]],2,FALSE)="N",F15="geo"),"No geo CSC possible !",""))</f>
        <v/>
      </c>
      <c r="H15" s="111">
        <f ca="1">SUMIFS(Table1[amount],Table1[sheet],A15,Table1[item],"TCO",Table1[year],"TOTAL")</f>
        <v>0</v>
      </c>
      <c r="I15" s="93"/>
      <c r="J15" t="str">
        <f>IF(E15="","",VLOOKUP($E15,Table4[[EN]:[ctry]],10,FALSE))</f>
        <v/>
      </c>
    </row>
    <row r="16" spans="1:20" x14ac:dyDescent="0.25">
      <c r="A16">
        <v>10</v>
      </c>
      <c r="B16">
        <v>10</v>
      </c>
      <c r="C16" t="str">
        <f>IF(OR(D16="",E16=""),"",C$3&amp;"-prg2022-"&amp;$A16&amp;"-"&amp;VLOOKUP($E16,Table4[[EN]:[ISO]],8,FALSE))</f>
        <v/>
      </c>
      <c r="D16" s="93"/>
      <c r="E16" s="93"/>
      <c r="F16" s="93"/>
      <c r="G16" s="73" t="str">
        <f>IF(E16="","",IF(AND(VLOOKUP(E16,Table4[[EN]:[CSC]],2,FALSE)="N",F16="geo"),"No geo CSC possible !",""))</f>
        <v/>
      </c>
      <c r="H16" s="111">
        <f ca="1">SUMIFS(Table1[amount],Table1[sheet],A16,Table1[item],"TCO",Table1[year],"TOTAL")</f>
        <v>0</v>
      </c>
      <c r="I16" s="93"/>
      <c r="J16" t="str">
        <f>IF(E16="","",VLOOKUP($E16,Table4[[EN]:[ctry]],10,FALSE))</f>
        <v/>
      </c>
    </row>
    <row r="17" spans="1:10" x14ac:dyDescent="0.25">
      <c r="A17">
        <v>11</v>
      </c>
      <c r="B17">
        <v>11</v>
      </c>
      <c r="C17" t="str">
        <f>IF(OR(D17="",E17=""),"",C$3&amp;"-prg2022-"&amp;$A17&amp;"-"&amp;VLOOKUP($E17,Table4[[EN]:[ISO]],8,FALSE))</f>
        <v/>
      </c>
      <c r="D17" s="93"/>
      <c r="E17" s="93"/>
      <c r="F17" s="93"/>
      <c r="G17" s="73" t="str">
        <f>IF(E17="","",IF(AND(VLOOKUP(E17,Table4[[EN]:[CSC]],2,FALSE)="N",F17="geo"),"No geo CSC possible !",""))</f>
        <v/>
      </c>
      <c r="H17" s="111">
        <f ca="1">SUMIFS(Table1[amount],Table1[sheet],A17,Table1[item],"TCO",Table1[year],"TOTAL")</f>
        <v>0</v>
      </c>
      <c r="I17" s="93"/>
      <c r="J17" t="str">
        <f>IF(E17="","",VLOOKUP($E17,Table4[[EN]:[ctry]],10,FALSE))</f>
        <v/>
      </c>
    </row>
    <row r="18" spans="1:10" x14ac:dyDescent="0.25">
      <c r="A18">
        <v>12</v>
      </c>
      <c r="B18">
        <v>12</v>
      </c>
      <c r="C18" t="str">
        <f>IF(OR(D18="",E18=""),"",C$3&amp;"-prg2022-"&amp;$A18&amp;"-"&amp;VLOOKUP($E18,Table4[[EN]:[ISO]],8,FALSE))</f>
        <v/>
      </c>
      <c r="D18" s="93"/>
      <c r="E18" s="93"/>
      <c r="F18" s="93"/>
      <c r="G18" s="73" t="str">
        <f>IF(E18="","",IF(AND(VLOOKUP(E18,Table4[[EN]:[CSC]],2,FALSE)="N",F18="geo"),"No geo CSC possible !",""))</f>
        <v/>
      </c>
      <c r="H18" s="111">
        <f ca="1">SUMIFS(Table1[amount],Table1[sheet],A18,Table1[item],"TCO",Table1[year],"TOTAL")</f>
        <v>0</v>
      </c>
      <c r="I18" s="93"/>
      <c r="J18" t="str">
        <f>IF(E18="","",VLOOKUP($E18,Table4[[EN]:[ctry]],10,FALSE))</f>
        <v/>
      </c>
    </row>
    <row r="19" spans="1:10" x14ac:dyDescent="0.25">
      <c r="A19">
        <v>13</v>
      </c>
      <c r="B19">
        <v>13</v>
      </c>
      <c r="C19" t="str">
        <f>IF(OR(D19="",E19=""),"",C$3&amp;"-prg2022-"&amp;$A19&amp;"-"&amp;VLOOKUP($E19,Table4[[EN]:[ISO]],8,FALSE))</f>
        <v/>
      </c>
      <c r="D19" s="93"/>
      <c r="E19" s="93"/>
      <c r="F19" s="93"/>
      <c r="G19" s="73" t="str">
        <f>IF(E19="","",IF(AND(VLOOKUP(E19,Table4[[EN]:[CSC]],2,FALSE)="N",F19="geo"),"No geo CSC possible !",""))</f>
        <v/>
      </c>
      <c r="H19" s="111">
        <f ca="1">SUMIFS(Table1[amount],Table1[sheet],A19,Table1[item],"TCO",Table1[year],"TOTAL")</f>
        <v>0</v>
      </c>
      <c r="I19" s="93"/>
      <c r="J19" t="str">
        <f>IF(E19="","",VLOOKUP($E19,Table4[[EN]:[ctry]],10,FALSE))</f>
        <v/>
      </c>
    </row>
    <row r="20" spans="1:10" x14ac:dyDescent="0.25">
      <c r="A20">
        <v>14</v>
      </c>
      <c r="B20">
        <v>14</v>
      </c>
      <c r="C20" t="str">
        <f>IF(OR(D20="",E20=""),"",C$3&amp;"-prg2022-"&amp;$A20&amp;"-"&amp;VLOOKUP($E20,Table4[[EN]:[ISO]],8,FALSE))</f>
        <v/>
      </c>
      <c r="D20" s="93"/>
      <c r="E20" s="93"/>
      <c r="F20" s="93"/>
      <c r="G20" s="73" t="str">
        <f>IF(E20="","",IF(AND(VLOOKUP(E20,Table4[[EN]:[CSC]],2,FALSE)="N",F20="geo"),"No geo CSC possible !",""))</f>
        <v/>
      </c>
      <c r="H20" s="111">
        <f ca="1">SUMIFS(Table1[amount],Table1[sheet],A20,Table1[item],"TCO",Table1[year],"TOTAL")</f>
        <v>0</v>
      </c>
      <c r="I20" s="93"/>
      <c r="J20" t="str">
        <f>IF(E20="","",VLOOKUP($E20,Table4[[EN]:[ctry]],10,FALSE))</f>
        <v/>
      </c>
    </row>
    <row r="21" spans="1:10" x14ac:dyDescent="0.25">
      <c r="A21">
        <v>15</v>
      </c>
      <c r="B21">
        <v>15</v>
      </c>
      <c r="C21" t="str">
        <f>IF(OR(D21="",E21=""),"",C$3&amp;"-prg2022-"&amp;$A21&amp;"-"&amp;VLOOKUP($E21,Table4[[EN]:[ISO]],8,FALSE))</f>
        <v/>
      </c>
      <c r="D21" s="93"/>
      <c r="E21" s="93"/>
      <c r="F21" s="93"/>
      <c r="G21" s="73" t="str">
        <f>IF(E21="","",IF(AND(VLOOKUP(E21,Table4[[EN]:[CSC]],2,FALSE)="N",F21="geo"),"No geo CSC possible !",""))</f>
        <v/>
      </c>
      <c r="H21" s="111">
        <f ca="1">SUMIFS(Table1[amount],Table1[sheet],A21,Table1[item],"TCO",Table1[year],"TOTAL")</f>
        <v>0</v>
      </c>
      <c r="I21" s="93"/>
      <c r="J21" t="str">
        <f>IF(E21="","",VLOOKUP($E21,Table4[[EN]:[ctry]],10,FALSE))</f>
        <v/>
      </c>
    </row>
    <row r="22" spans="1:10" x14ac:dyDescent="0.25">
      <c r="A22">
        <v>16</v>
      </c>
      <c r="B22">
        <v>16</v>
      </c>
      <c r="C22" t="str">
        <f>IF(OR(D22="",E22=""),"",C$3&amp;"-prg2022-"&amp;$A22&amp;"-"&amp;VLOOKUP($E22,Table4[[EN]:[ISO]],8,FALSE))</f>
        <v/>
      </c>
      <c r="D22" s="93"/>
      <c r="E22" s="93"/>
      <c r="F22" s="93"/>
      <c r="G22" s="73" t="str">
        <f>IF(E22="","",IF(AND(VLOOKUP(E22,Table4[[EN]:[CSC]],2,FALSE)="N",F22="geo"),"No geo CSC possible !",""))</f>
        <v/>
      </c>
      <c r="H22" s="111">
        <f ca="1">SUMIFS(Table1[amount],Table1[sheet],A22,Table1[item],"TCO",Table1[year],"TOTAL")</f>
        <v>0</v>
      </c>
      <c r="I22" s="93"/>
      <c r="J22" t="str">
        <f>IF(E22="","",VLOOKUP($E22,Table4[[EN]:[ctry]],10,FALSE))</f>
        <v/>
      </c>
    </row>
    <row r="23" spans="1:10" x14ac:dyDescent="0.25">
      <c r="A23">
        <v>17</v>
      </c>
      <c r="B23">
        <v>17</v>
      </c>
      <c r="C23" t="str">
        <f>IF(OR(D23="",E23=""),"",C$3&amp;"-prg2022-"&amp;$A23&amp;"-"&amp;VLOOKUP($E23,Table4[[EN]:[ISO]],8,FALSE))</f>
        <v/>
      </c>
      <c r="D23" s="93"/>
      <c r="E23" s="93"/>
      <c r="F23" s="93"/>
      <c r="G23" s="73" t="str">
        <f>IF(E23="","",IF(AND(VLOOKUP(E23,Table4[[EN]:[CSC]],2,FALSE)="N",F23="geo"),"No geo CSC possible !",""))</f>
        <v/>
      </c>
      <c r="H23" s="111">
        <f ca="1">SUMIFS(Table1[amount],Table1[sheet],A23,Table1[item],"TCO",Table1[year],"TOTAL")</f>
        <v>0</v>
      </c>
      <c r="I23" s="93"/>
      <c r="J23" t="str">
        <f>IF(E23="","",VLOOKUP($E23,Table4[[EN]:[ctry]],10,FALSE))</f>
        <v/>
      </c>
    </row>
    <row r="24" spans="1:10" x14ac:dyDescent="0.25">
      <c r="A24">
        <v>18</v>
      </c>
      <c r="B24">
        <v>18</v>
      </c>
      <c r="C24" t="str">
        <f>IF(OR(D24="",E24=""),"",C$3&amp;"-prg2022-"&amp;$A24&amp;"-"&amp;VLOOKUP($E24,Table4[[EN]:[ISO]],8,FALSE))</f>
        <v/>
      </c>
      <c r="D24" s="93"/>
      <c r="E24" s="93"/>
      <c r="F24" s="93"/>
      <c r="G24" s="73" t="str">
        <f>IF(E24="","",IF(AND(VLOOKUP(E24,Table4[[EN]:[CSC]],2,FALSE)="N",F24="geo"),"No geo CSC possible !",""))</f>
        <v/>
      </c>
      <c r="H24" s="111">
        <f ca="1">SUMIFS(Table1[amount],Table1[sheet],A24,Table1[item],"TCO",Table1[year],"TOTAL")</f>
        <v>0</v>
      </c>
      <c r="I24" s="93"/>
      <c r="J24" t="str">
        <f>IF(E24="","",VLOOKUP($E24,Table4[[EN]:[ctry]],10,FALSE))</f>
        <v/>
      </c>
    </row>
    <row r="25" spans="1:10" x14ac:dyDescent="0.25">
      <c r="A25">
        <v>19</v>
      </c>
      <c r="B25">
        <v>19</v>
      </c>
      <c r="C25" t="str">
        <f>IF(OR(D25="",E25=""),"",C$3&amp;"-prg2022-"&amp;$A25&amp;"-"&amp;VLOOKUP($E25,Table4[[EN]:[ISO]],8,FALSE))</f>
        <v/>
      </c>
      <c r="D25" s="93"/>
      <c r="E25" s="93"/>
      <c r="F25" s="93"/>
      <c r="G25" s="73" t="str">
        <f>IF(E25="","",IF(AND(VLOOKUP(E25,Table4[[EN]:[CSC]],2,FALSE)="N",F25="geo"),"No geo CSC possible !",""))</f>
        <v/>
      </c>
      <c r="H25" s="111">
        <f ca="1">SUMIFS(Table1[amount],Table1[sheet],A25,Table1[item],"TCO",Table1[year],"TOTAL")</f>
        <v>0</v>
      </c>
      <c r="I25" s="93"/>
      <c r="J25" t="str">
        <f>IF(E25="","",VLOOKUP($E25,Table4[[EN]:[ctry]],10,FALSE))</f>
        <v/>
      </c>
    </row>
    <row r="26" spans="1:10" x14ac:dyDescent="0.25">
      <c r="A26">
        <v>20</v>
      </c>
      <c r="B26">
        <v>20</v>
      </c>
      <c r="C26" t="str">
        <f>IF(OR(D26="",E26=""),"",C$3&amp;"-prg2022-"&amp;$A26&amp;"-"&amp;VLOOKUP($E26,Table4[[EN]:[ISO]],8,FALSE))</f>
        <v/>
      </c>
      <c r="D26" s="93"/>
      <c r="E26" s="93"/>
      <c r="F26" s="93"/>
      <c r="G26" s="73" t="str">
        <f>IF(E26="","",IF(AND(VLOOKUP(E26,Table4[[EN]:[CSC]],2,FALSE)="N",F26="geo"),"No geo CSC possible !",""))</f>
        <v/>
      </c>
      <c r="H26" s="111">
        <f ca="1">SUMIFS(Table1[amount],Table1[sheet],A26,Table1[item],"TCO",Table1[year],"TOTAL")</f>
        <v>0</v>
      </c>
      <c r="I26" s="93"/>
      <c r="J26" t="str">
        <f>IF(E26="","",VLOOKUP($E26,Table4[[EN]:[ctry]],10,FALSE))</f>
        <v/>
      </c>
    </row>
    <row r="27" spans="1:10" x14ac:dyDescent="0.25">
      <c r="A27">
        <v>21</v>
      </c>
      <c r="B27">
        <v>21</v>
      </c>
      <c r="C27" t="str">
        <f>IF(OR(D27="",E27=""),"",C$3&amp;"-prg2022-"&amp;$A27&amp;"-"&amp;VLOOKUP($E27,Table4[[EN]:[ISO]],8,FALSE))</f>
        <v/>
      </c>
      <c r="D27" s="93"/>
      <c r="E27" s="93"/>
      <c r="F27" s="93"/>
      <c r="G27" s="73" t="str">
        <f>IF(E27="","",IF(AND(VLOOKUP(E27,Table4[[EN]:[CSC]],2,FALSE)="N",F27="geo"),"No geo CSC possible !",""))</f>
        <v/>
      </c>
      <c r="H27" s="111">
        <f ca="1">SUMIFS(Table1[amount],Table1[sheet],A27,Table1[item],"TCO",Table1[year],"TOTAL")</f>
        <v>0</v>
      </c>
      <c r="I27" s="93"/>
      <c r="J27" t="str">
        <f>IF(E27="","",VLOOKUP($E27,Table4[[EN]:[ctry]],10,FALSE))</f>
        <v/>
      </c>
    </row>
    <row r="28" spans="1:10" x14ac:dyDescent="0.25">
      <c r="A28">
        <v>22</v>
      </c>
      <c r="B28">
        <v>22</v>
      </c>
      <c r="C28" t="str">
        <f>IF(OR(D28="",E28=""),"",C$3&amp;"-prg2022-"&amp;$A28&amp;"-"&amp;VLOOKUP($E28,Table4[[EN]:[ISO]],8,FALSE))</f>
        <v/>
      </c>
      <c r="D28" s="93"/>
      <c r="E28" s="93"/>
      <c r="F28" s="93"/>
      <c r="G28" s="73" t="str">
        <f>IF(E28="","",IF(AND(VLOOKUP(E28,Table4[[EN]:[CSC]],2,FALSE)="N",F28="geo"),"No geo CSC possible !",""))</f>
        <v/>
      </c>
      <c r="H28" s="111">
        <f ca="1">SUMIFS(Table1[amount],Table1[sheet],A28,Table1[item],"TCO",Table1[year],"TOTAL")</f>
        <v>0</v>
      </c>
      <c r="I28" s="93"/>
      <c r="J28" t="str">
        <f>IF(E28="","",VLOOKUP($E28,Table4[[EN]:[ctry]],10,FALSE))</f>
        <v/>
      </c>
    </row>
    <row r="29" spans="1:10" x14ac:dyDescent="0.25">
      <c r="A29">
        <v>23</v>
      </c>
      <c r="B29">
        <v>23</v>
      </c>
      <c r="C29" t="str">
        <f>IF(OR(D29="",E29=""),"",C$3&amp;"-prg2022-"&amp;$A29&amp;"-"&amp;VLOOKUP($E29,Table4[[EN]:[ISO]],8,FALSE))</f>
        <v/>
      </c>
      <c r="D29" s="93"/>
      <c r="E29" s="93"/>
      <c r="F29" s="93"/>
      <c r="G29" s="73" t="str">
        <f>IF(E29="","",IF(AND(VLOOKUP(E29,Table4[[EN]:[CSC]],2,FALSE)="N",F29="geo"),"No geo CSC possible !",""))</f>
        <v/>
      </c>
      <c r="H29" s="111">
        <f ca="1">SUMIFS(Table1[amount],Table1[sheet],A29,Table1[item],"TCO",Table1[year],"TOTAL")</f>
        <v>0</v>
      </c>
      <c r="I29" s="93"/>
      <c r="J29" t="str">
        <f>IF(E29="","",VLOOKUP($E29,Table4[[EN]:[ctry]],10,FALSE))</f>
        <v/>
      </c>
    </row>
    <row r="30" spans="1:10" x14ac:dyDescent="0.25">
      <c r="A30">
        <v>24</v>
      </c>
      <c r="B30">
        <v>24</v>
      </c>
      <c r="C30" t="str">
        <f>IF(OR(D30="",E30=""),"",C$3&amp;"-prg2022-"&amp;$A30&amp;"-"&amp;VLOOKUP($E30,Table4[[EN]:[ISO]],8,FALSE))</f>
        <v/>
      </c>
      <c r="D30" s="93"/>
      <c r="E30" s="93"/>
      <c r="F30" s="93"/>
      <c r="G30" s="73" t="str">
        <f>IF(E30="","",IF(AND(VLOOKUP(E30,Table4[[EN]:[CSC]],2,FALSE)="N",F30="geo"),"No geo CSC possible !",""))</f>
        <v/>
      </c>
      <c r="H30" s="111">
        <f ca="1">SUMIFS(Table1[amount],Table1[sheet],A30,Table1[item],"TCO",Table1[year],"TOTAL")</f>
        <v>0</v>
      </c>
      <c r="I30" s="93"/>
      <c r="J30" t="str">
        <f>IF(E30="","",VLOOKUP($E30,Table4[[EN]:[ctry]],10,FALSE))</f>
        <v/>
      </c>
    </row>
    <row r="31" spans="1:10" x14ac:dyDescent="0.25">
      <c r="A31">
        <v>25</v>
      </c>
      <c r="B31">
        <v>25</v>
      </c>
      <c r="C31" t="str">
        <f>IF(OR(D31="",E31=""),"",C$3&amp;"-prg2022-"&amp;$A31&amp;"-"&amp;VLOOKUP($E31,Table4[[EN]:[ISO]],8,FALSE))</f>
        <v/>
      </c>
      <c r="D31" s="93"/>
      <c r="E31" s="93"/>
      <c r="F31" s="93"/>
      <c r="G31" s="73" t="str">
        <f>IF(E31="","",IF(AND(VLOOKUP(E31,Table4[[EN]:[CSC]],2,FALSE)="N",F31="geo"),"No geo CSC possible !",""))</f>
        <v/>
      </c>
      <c r="H31" s="111">
        <f ca="1">SUMIFS(Table1[amount],Table1[sheet],A31,Table1[item],"TCO",Table1[year],"TOTAL")</f>
        <v>0</v>
      </c>
      <c r="I31" s="93"/>
      <c r="J31"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0"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zoomScale="95" zoomScaleNormal="95" workbookViewId="0">
      <pane xSplit="14" ySplit="5" topLeftCell="O41" activePane="bottomRight" state="frozen"/>
      <selection pane="topRight" activeCell="O1" sqref="O1"/>
      <selection pane="bottomLeft" activeCell="A6" sqref="A6"/>
      <selection pane="bottomRight" activeCell="O30" sqref="O30"/>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Tegen 2026 mobiliseren meer burgers zich tegen ongelijkheid en voor economische rechtvaardigheid</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BELGIUM</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BE-BCE_KBO-0408643875-prog2022_BEL_commun_OS1</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609902.58146955504</v>
      </c>
      <c r="P20" s="153">
        <f t="shared" si="3"/>
        <v>571788.37155019306</v>
      </c>
      <c r="Q20" s="153">
        <f t="shared" si="3"/>
        <v>617697.15568497893</v>
      </c>
      <c r="R20" s="153">
        <f t="shared" si="3"/>
        <v>639935.75887253601</v>
      </c>
      <c r="S20" s="153">
        <f t="shared" si="3"/>
        <v>583054.47404998646</v>
      </c>
      <c r="T20" s="164">
        <f t="shared" si="3"/>
        <v>3022378.3416272495</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v>4800</v>
      </c>
      <c r="P21" s="154">
        <v>4800</v>
      </c>
      <c r="Q21" s="155"/>
      <c r="R21" s="155"/>
      <c r="S21" s="155"/>
      <c r="T21" s="166">
        <f>SUM(O21:S21)</f>
        <v>9600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169000</v>
      </c>
      <c r="P22" s="155">
        <v>169046.63</v>
      </c>
      <c r="Q22" s="155">
        <v>169000</v>
      </c>
      <c r="R22" s="155">
        <v>169000</v>
      </c>
      <c r="S22" s="155">
        <v>169000</v>
      </c>
      <c r="T22" s="166">
        <f>SUM(O22:S22)</f>
        <v>845046.63</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v>436102.58146955504</v>
      </c>
      <c r="P23" s="156">
        <f>435168.781550193-65000+27772.96</f>
        <v>397941.74155019299</v>
      </c>
      <c r="Q23" s="156">
        <f>420924.195684979+27772.96</f>
        <v>448697.15568497899</v>
      </c>
      <c r="R23" s="156">
        <f>405935.758872536+65000</f>
        <v>470935.75887253601</v>
      </c>
      <c r="S23" s="156">
        <v>414054.47404998646</v>
      </c>
      <c r="T23" s="166">
        <f>SUM(O23:S23)</f>
        <v>2167731.7116272496</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609902.58146955504</v>
      </c>
      <c r="P26" s="153">
        <f t="shared" ref="P26:S26" si="4">P28+P33+P38</f>
        <v>571788.37155019306</v>
      </c>
      <c r="Q26" s="153">
        <f t="shared" si="4"/>
        <v>617697.15568497893</v>
      </c>
      <c r="R26" s="153">
        <f t="shared" si="4"/>
        <v>639935.75887253601</v>
      </c>
      <c r="S26" s="153">
        <f t="shared" si="4"/>
        <v>583054.47404998646</v>
      </c>
      <c r="T26" s="164">
        <f>SUM(O26:S26)</f>
        <v>3022378.3416272495</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4800</v>
      </c>
      <c r="P28" s="153">
        <f t="shared" si="6"/>
        <v>4800</v>
      </c>
      <c r="Q28" s="153">
        <f t="shared" si="6"/>
        <v>0</v>
      </c>
      <c r="R28" s="153">
        <f t="shared" si="6"/>
        <v>0</v>
      </c>
      <c r="S28" s="153">
        <f t="shared" si="6"/>
        <v>0</v>
      </c>
      <c r="T28" s="164">
        <f t="shared" si="6"/>
        <v>9600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4800</v>
      </c>
      <c r="P30" s="155">
        <v>4800</v>
      </c>
      <c r="Q30" s="155"/>
      <c r="R30" s="155"/>
      <c r="S30" s="155"/>
      <c r="T30" s="166">
        <f>SUM(O30:S30)</f>
        <v>9600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169000</v>
      </c>
      <c r="P33" s="153">
        <f t="shared" si="8"/>
        <v>169046.63</v>
      </c>
      <c r="Q33" s="153">
        <f t="shared" si="8"/>
        <v>169000</v>
      </c>
      <c r="R33" s="153">
        <f t="shared" si="8"/>
        <v>169000</v>
      </c>
      <c r="S33" s="153">
        <f t="shared" si="8"/>
        <v>169000</v>
      </c>
      <c r="T33" s="164">
        <f t="shared" si="8"/>
        <v>845046.63</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2000</v>
      </c>
      <c r="P34" s="154">
        <v>2000</v>
      </c>
      <c r="Q34" s="154">
        <v>2000</v>
      </c>
      <c r="R34" s="154">
        <v>2000</v>
      </c>
      <c r="S34" s="154">
        <v>2000</v>
      </c>
      <c r="T34" s="166">
        <f>SUM(O34:S34)</f>
        <v>10000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0</v>
      </c>
      <c r="P35" s="155"/>
      <c r="Q35" s="155">
        <v>0</v>
      </c>
      <c r="R35" s="155">
        <v>0</v>
      </c>
      <c r="S35" s="155">
        <v>0</v>
      </c>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167000</v>
      </c>
      <c r="P36" s="155">
        <v>167046.63</v>
      </c>
      <c r="Q36" s="155">
        <v>167000</v>
      </c>
      <c r="R36" s="155">
        <v>167000</v>
      </c>
      <c r="S36" s="155">
        <v>167000</v>
      </c>
      <c r="T36" s="166">
        <f>SUM(O36:S36)</f>
        <v>835046.63</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436102.58146955504</v>
      </c>
      <c r="P38" s="153">
        <f t="shared" si="10"/>
        <v>397941.74155019299</v>
      </c>
      <c r="Q38" s="153">
        <f t="shared" si="10"/>
        <v>448697.15568497899</v>
      </c>
      <c r="R38" s="153">
        <f t="shared" si="10"/>
        <v>470935.75887253601</v>
      </c>
      <c r="S38" s="153">
        <f t="shared" si="10"/>
        <v>414054.47404998646</v>
      </c>
      <c r="T38" s="153">
        <f t="shared" si="10"/>
        <v>2167731.7116272496</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v>436102.58146955504</v>
      </c>
      <c r="P39" s="155">
        <f>435168.781550193-65000+27772.96</f>
        <v>397941.74155019299</v>
      </c>
      <c r="Q39" s="155">
        <f>420924.195684979+27772.96</f>
        <v>448697.15568497899</v>
      </c>
      <c r="R39" s="155">
        <f>405935.758872536+65000</f>
        <v>470935.75887253601</v>
      </c>
      <c r="S39" s="155">
        <v>414054.47404998646</v>
      </c>
      <c r="T39" s="166">
        <f>SUM(O39:S39)</f>
        <v>2167731.7116272496</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609902.58146955504</v>
      </c>
      <c r="P58" s="165">
        <f t="shared" ref="P58:T58" si="12">P26-SUM(P59:P100)</f>
        <v>571788.37155019306</v>
      </c>
      <c r="Q58" s="165">
        <f t="shared" si="12"/>
        <v>617697.15568497893</v>
      </c>
      <c r="R58" s="165">
        <f t="shared" si="12"/>
        <v>639935.75887253601</v>
      </c>
      <c r="S58" s="165">
        <f t="shared" si="12"/>
        <v>583054.47404998646</v>
      </c>
      <c r="T58" s="171">
        <f t="shared" si="12"/>
        <v>3022378.3416272495</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 t="shared" ref="T59:T66" si="13">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si="13"/>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55"/>
      <c r="P61" s="155"/>
      <c r="Q61" s="155"/>
      <c r="R61" s="155"/>
      <c r="S61" s="155"/>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55"/>
      <c r="P63" s="155"/>
      <c r="Q63" s="155"/>
      <c r="R63" s="155"/>
      <c r="S63" s="155"/>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55"/>
      <c r="P64" s="155"/>
      <c r="Q64" s="155"/>
      <c r="R64" s="155"/>
      <c r="S64" s="155"/>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55"/>
      <c r="P65" s="155"/>
      <c r="Q65" s="155"/>
      <c r="R65" s="155"/>
      <c r="S65" s="155"/>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55"/>
      <c r="P66" s="155"/>
      <c r="Q66" s="155"/>
      <c r="R66" s="155"/>
      <c r="S66" s="155"/>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ref="T67:T100" si="14">SUM(O67:S67)</f>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4"/>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4"/>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4"/>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4"/>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4"/>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4"/>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4"/>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4"/>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4"/>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4"/>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4"/>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4"/>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4"/>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4"/>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4"/>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4"/>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4"/>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4"/>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4"/>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4"/>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4"/>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4"/>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4"/>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4"/>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4"/>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4"/>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4"/>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4"/>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4"/>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4"/>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4"/>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4"/>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zoomScale="106" zoomScaleNormal="106" workbookViewId="0">
      <pane xSplit="14" ySplit="5" topLeftCell="O15" activePane="bottomRight" state="frozen"/>
      <selection pane="topRight" activeCell="O1" sqref="O1"/>
      <selection pane="bottomLeft" activeCell="A6" sqref="A6"/>
      <selection pane="bottomRight" activeCell="O39" sqref="O39:S3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Plaider pour une économie juste, durable, inclusive et transformatrice en genre</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BELGIUM</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BE-BCE_KBO-0408643875-prog2022_BEL_commun_OS2</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59000</v>
      </c>
      <c r="P12" s="153">
        <f t="shared" si="1"/>
        <v>65200</v>
      </c>
      <c r="Q12" s="153">
        <f t="shared" si="1"/>
        <v>65200</v>
      </c>
      <c r="R12" s="153">
        <f t="shared" si="1"/>
        <v>59000</v>
      </c>
      <c r="S12" s="153">
        <f t="shared" si="1"/>
        <v>59000</v>
      </c>
      <c r="T12" s="164">
        <f t="shared" si="1"/>
        <v>307400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f>59000-6000</f>
        <v>53000</v>
      </c>
      <c r="P14" s="155">
        <f>59000-6000+5600</f>
        <v>58600</v>
      </c>
      <c r="Q14" s="155">
        <f>59000-6000+5600</f>
        <v>58600</v>
      </c>
      <c r="R14" s="155">
        <f>59000-6000</f>
        <v>53000</v>
      </c>
      <c r="S14" s="155">
        <f>59000-6000</f>
        <v>53000</v>
      </c>
      <c r="T14" s="166">
        <f>SUM(O14:S14)</f>
        <v>276200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v>6000</v>
      </c>
      <c r="P15" s="155">
        <f>6000+600</f>
        <v>6600</v>
      </c>
      <c r="Q15" s="155">
        <f>6000+600</f>
        <v>6600</v>
      </c>
      <c r="R15" s="155">
        <v>6000</v>
      </c>
      <c r="S15" s="155">
        <v>6000</v>
      </c>
      <c r="T15" s="166">
        <f>SUM(O15:S15)</f>
        <v>31200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296172.77232696279</v>
      </c>
      <c r="P20" s="153">
        <f t="shared" si="3"/>
        <v>240291.92587116398</v>
      </c>
      <c r="Q20" s="153">
        <f t="shared" si="3"/>
        <v>279363.411988587</v>
      </c>
      <c r="R20" s="153">
        <f t="shared" si="3"/>
        <v>308998.70782835898</v>
      </c>
      <c r="S20" s="153">
        <f t="shared" si="3"/>
        <v>278234.68198492634</v>
      </c>
      <c r="T20" s="164">
        <f t="shared" si="3"/>
        <v>1403061.4999999991</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82500</v>
      </c>
      <c r="P22" s="155">
        <f>62200+7000</f>
        <v>69200</v>
      </c>
      <c r="Q22" s="155">
        <f>62200+7000</f>
        <v>69200</v>
      </c>
      <c r="R22" s="155">
        <v>62200</v>
      </c>
      <c r="S22" s="155">
        <v>62200</v>
      </c>
      <c r="T22" s="166">
        <f>SUM(O22:S22)</f>
        <v>345300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v>213672.77232696279</v>
      </c>
      <c r="P23" s="156">
        <f>203574.305871164-35000+2517.62</f>
        <v>171091.92587116398</v>
      </c>
      <c r="Q23" s="156">
        <f>207645.791988587+2517.62</f>
        <v>210163.411988587</v>
      </c>
      <c r="R23" s="156">
        <f>211798.707828359+35000</f>
        <v>246798.70782835901</v>
      </c>
      <c r="S23" s="156">
        <v>216034.68198492637</v>
      </c>
      <c r="T23" s="166">
        <f>SUM(O23:S23)</f>
        <v>1057761.4999999991</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355172.77232696302</v>
      </c>
      <c r="P26" s="153">
        <f t="shared" ref="P26:S26" si="4">P28+P33+P38</f>
        <v>305491.92587116396</v>
      </c>
      <c r="Q26" s="153">
        <f t="shared" si="4"/>
        <v>344563.411988587</v>
      </c>
      <c r="R26" s="153">
        <f t="shared" si="4"/>
        <v>367998.70782835898</v>
      </c>
      <c r="S26" s="153">
        <f t="shared" si="4"/>
        <v>337234.68198492599</v>
      </c>
      <c r="T26" s="164">
        <f>SUM(O26:S26)</f>
        <v>1710461.4999999991</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135500</v>
      </c>
      <c r="P33" s="153">
        <f t="shared" si="8"/>
        <v>127800</v>
      </c>
      <c r="Q33" s="153">
        <f t="shared" si="8"/>
        <v>127800</v>
      </c>
      <c r="R33" s="153">
        <f t="shared" si="8"/>
        <v>115200</v>
      </c>
      <c r="S33" s="153">
        <f t="shared" si="8"/>
        <v>115200</v>
      </c>
      <c r="T33" s="164">
        <f t="shared" si="8"/>
        <v>621500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5000</v>
      </c>
      <c r="P34" s="155">
        <f>5000+4000</f>
        <v>9000</v>
      </c>
      <c r="Q34" s="155">
        <f>5000+4000</f>
        <v>9000</v>
      </c>
      <c r="R34" s="155">
        <v>5000</v>
      </c>
      <c r="S34" s="155">
        <v>5000</v>
      </c>
      <c r="T34" s="166">
        <f>SUM(O34:S34)</f>
        <v>33000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f>136500-6000</f>
        <v>130500</v>
      </c>
      <c r="P36" s="155">
        <f>116200+9200-6600</f>
        <v>118800</v>
      </c>
      <c r="Q36" s="155">
        <f>116200+9200-6600</f>
        <v>118800</v>
      </c>
      <c r="R36" s="155">
        <f>116200-6000</f>
        <v>110200</v>
      </c>
      <c r="S36" s="155">
        <f>116200-6000</f>
        <v>110200</v>
      </c>
      <c r="T36" s="166">
        <f>SUM(O36:S36)</f>
        <v>588500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-3.7834979593753815E-10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219672.77232696299</v>
      </c>
      <c r="P38" s="153">
        <f t="shared" si="10"/>
        <v>177691.92587116398</v>
      </c>
      <c r="Q38" s="153">
        <f t="shared" si="10"/>
        <v>216763.411988587</v>
      </c>
      <c r="R38" s="153">
        <f t="shared" si="10"/>
        <v>252798.70782835901</v>
      </c>
      <c r="S38" s="153">
        <f t="shared" si="10"/>
        <v>222034.68198492599</v>
      </c>
      <c r="T38" s="153">
        <f t="shared" si="10"/>
        <v>1088961.4999999991</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f>213672.772326963+6000</f>
        <v>219672.77232696299</v>
      </c>
      <c r="P39" s="155">
        <f>203574.305871164-35000+2517.62+6600</f>
        <v>177691.92587116398</v>
      </c>
      <c r="Q39" s="155">
        <f>207645.791988587+2517.62+6600</f>
        <v>216763.411988587</v>
      </c>
      <c r="R39" s="155">
        <f>211798.707828359+35000+6000</f>
        <v>252798.70782835901</v>
      </c>
      <c r="S39" s="155">
        <f>216034.681984926+6000</f>
        <v>222034.68198492599</v>
      </c>
      <c r="T39" s="166">
        <f>SUM(O39:S39)</f>
        <v>1088961.4999999991</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355172.77232696302</v>
      </c>
      <c r="P58" s="165">
        <f t="shared" ref="P58:T58" si="12">P26-SUM(P59:P100)</f>
        <v>305491.92587116396</v>
      </c>
      <c r="Q58" s="165">
        <f t="shared" si="12"/>
        <v>344563.411988587</v>
      </c>
      <c r="R58" s="165">
        <f t="shared" si="12"/>
        <v>367998.70782835898</v>
      </c>
      <c r="S58" s="165">
        <f t="shared" si="12"/>
        <v>337234.68198492599</v>
      </c>
      <c r="T58" s="171">
        <f t="shared" si="12"/>
        <v>1710461.4999999991</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tabSelected="1" zoomScale="90" zoomScaleNormal="90" workbookViewId="0">
      <pane xSplit="14" ySplit="5" topLeftCell="O6" activePane="bottomRight" state="frozen"/>
      <selection pane="topRight" activeCell="O1" sqref="O1"/>
      <selection pane="bottomLeft" activeCell="A6" sqref="A6"/>
      <selection pane="bottomRight" activeCell="S9" sqref="S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Autonomisation et résilience des femmes et des jeunes dans les chaînes de valeur lait et riz au BKF</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BURKINA FASO</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BE-BCE_KBO-0408643875-prog2022_commun_BKF</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681941.9800000001</v>
      </c>
      <c r="P8" s="153">
        <f t="shared" si="0"/>
        <v>640223.67000000004</v>
      </c>
      <c r="Q8" s="153">
        <f t="shared" si="0"/>
        <v>639481.84000000008</v>
      </c>
      <c r="R8" s="153">
        <f t="shared" si="0"/>
        <v>404757.49999999994</v>
      </c>
      <c r="S8" s="153">
        <f t="shared" si="0"/>
        <v>406040.19</v>
      </c>
      <c r="T8" s="164">
        <f t="shared" si="0"/>
        <v>2772445.18</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v>41084.53</v>
      </c>
      <c r="P9" s="155">
        <v>41044.04</v>
      </c>
      <c r="Q9" s="155">
        <v>8856.9699999999993</v>
      </c>
      <c r="R9" s="155">
        <v>4573.47</v>
      </c>
      <c r="S9" s="155">
        <v>1524.49</v>
      </c>
      <c r="T9" s="166">
        <f>SUM(O9:S9)</f>
        <v>97083.500000000015</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v>529349.29</v>
      </c>
      <c r="P10" s="155">
        <v>486153.08</v>
      </c>
      <c r="Q10" s="155">
        <v>515774.32</v>
      </c>
      <c r="R10" s="155">
        <v>285333.48</v>
      </c>
      <c r="S10" s="155">
        <v>287841.15000000002</v>
      </c>
      <c r="T10" s="166">
        <f>SUM(O10:S10)</f>
        <v>2104451.3200000003</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v>111508.16</v>
      </c>
      <c r="P11" s="155">
        <v>113026.55</v>
      </c>
      <c r="Q11" s="155">
        <v>114850.55</v>
      </c>
      <c r="R11" s="155">
        <v>114850.55</v>
      </c>
      <c r="S11" s="155">
        <v>116674.55</v>
      </c>
      <c r="T11" s="166">
        <f>SUM(O11:S11)</f>
        <v>570910.36</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17000</v>
      </c>
      <c r="P12" s="153">
        <f t="shared" si="1"/>
        <v>17000</v>
      </c>
      <c r="Q12" s="153">
        <f t="shared" si="1"/>
        <v>17000</v>
      </c>
      <c r="R12" s="153">
        <f t="shared" si="1"/>
        <v>17000</v>
      </c>
      <c r="S12" s="153">
        <f t="shared" si="1"/>
        <v>17000</v>
      </c>
      <c r="T12" s="164">
        <f t="shared" si="1"/>
        <v>85000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v>17000</v>
      </c>
      <c r="P14" s="155">
        <v>17000</v>
      </c>
      <c r="Q14" s="155">
        <v>17000</v>
      </c>
      <c r="R14" s="155">
        <v>17000</v>
      </c>
      <c r="S14" s="155">
        <v>17000</v>
      </c>
      <c r="T14" s="166">
        <f>SUM(O14:S14)</f>
        <v>85000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158000</v>
      </c>
      <c r="P16" s="153">
        <f t="shared" si="2"/>
        <v>166566.78999999998</v>
      </c>
      <c r="Q16" s="153">
        <f t="shared" si="2"/>
        <v>166567</v>
      </c>
      <c r="R16" s="153">
        <f t="shared" si="2"/>
        <v>238000</v>
      </c>
      <c r="S16" s="153">
        <f t="shared" si="2"/>
        <v>278000.2</v>
      </c>
      <c r="T16" s="164">
        <f t="shared" si="2"/>
        <v>1007133.99</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v>1524.49</v>
      </c>
      <c r="P17" s="155">
        <v>1524.49</v>
      </c>
      <c r="Q17" s="155">
        <v>1524.49</v>
      </c>
      <c r="R17" s="155">
        <v>1524.49</v>
      </c>
      <c r="S17" s="155">
        <v>1524.49</v>
      </c>
      <c r="T17" s="166">
        <f>SUM(O17:S17)</f>
        <v>7622.45</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v>64772.36</v>
      </c>
      <c r="P18" s="155">
        <v>73339.149999999994</v>
      </c>
      <c r="Q18" s="155">
        <v>73339.360000000001</v>
      </c>
      <c r="R18" s="155">
        <v>99265.14</v>
      </c>
      <c r="S18" s="155">
        <v>116511.72</v>
      </c>
      <c r="T18" s="166">
        <f>SUM(O18:S18)</f>
        <v>427227.73</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v>91703.15</v>
      </c>
      <c r="P19" s="155">
        <v>91703.15</v>
      </c>
      <c r="Q19" s="155">
        <v>91703.15</v>
      </c>
      <c r="R19" s="155">
        <v>137210.37</v>
      </c>
      <c r="S19" s="155">
        <v>159963.99</v>
      </c>
      <c r="T19" s="166">
        <f>SUM(O19:S19)</f>
        <v>572283.80999999994</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4000</v>
      </c>
      <c r="P20" s="153">
        <f t="shared" si="3"/>
        <v>4000</v>
      </c>
      <c r="Q20" s="153">
        <f t="shared" si="3"/>
        <v>4000</v>
      </c>
      <c r="R20" s="153">
        <f t="shared" si="3"/>
        <v>4000</v>
      </c>
      <c r="S20" s="153">
        <f t="shared" si="3"/>
        <v>4000</v>
      </c>
      <c r="T20" s="164">
        <f t="shared" si="3"/>
        <v>20000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4000</v>
      </c>
      <c r="P22" s="155">
        <v>4000</v>
      </c>
      <c r="Q22" s="155">
        <v>4000</v>
      </c>
      <c r="R22" s="155">
        <v>4000</v>
      </c>
      <c r="S22" s="155">
        <v>4000</v>
      </c>
      <c r="T22" s="166">
        <f>SUM(O22:S22)</f>
        <v>20000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860942</v>
      </c>
      <c r="P26" s="153">
        <f t="shared" ref="P26:S26" si="4">P28+P33+P38</f>
        <v>827790.52</v>
      </c>
      <c r="Q26" s="153">
        <f t="shared" si="4"/>
        <v>827048.5</v>
      </c>
      <c r="R26" s="153">
        <f t="shared" si="4"/>
        <v>663757.49</v>
      </c>
      <c r="S26" s="153">
        <f t="shared" si="4"/>
        <v>705040.39999999991</v>
      </c>
      <c r="T26" s="164">
        <f>SUM(O26:S26)</f>
        <v>3884578.9099999997</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1.0000000002037268E-2</v>
      </c>
      <c r="P27" s="167">
        <f t="shared" si="5"/>
        <v>0.4099999999962165</v>
      </c>
      <c r="Q27" s="167">
        <f t="shared" si="5"/>
        <v>0</v>
      </c>
      <c r="R27" s="167">
        <f t="shared" si="5"/>
        <v>0</v>
      </c>
      <c r="S27" s="167">
        <f t="shared" si="5"/>
        <v>0</v>
      </c>
      <c r="T27" s="166">
        <f>T28-(T9+T13+T17+T21)</f>
        <v>0.41999999999825377</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42609.03</v>
      </c>
      <c r="P28" s="153">
        <f t="shared" si="6"/>
        <v>42568.939999999995</v>
      </c>
      <c r="Q28" s="153">
        <f t="shared" si="6"/>
        <v>10381.459999999999</v>
      </c>
      <c r="R28" s="153">
        <f t="shared" si="6"/>
        <v>6097.96</v>
      </c>
      <c r="S28" s="153">
        <f t="shared" si="6"/>
        <v>3048.98</v>
      </c>
      <c r="T28" s="164">
        <f t="shared" si="6"/>
        <v>104706.37000000001</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v>0</v>
      </c>
      <c r="P29" s="155">
        <v>0</v>
      </c>
      <c r="Q29" s="155">
        <v>0</v>
      </c>
      <c r="R29" s="155">
        <v>0</v>
      </c>
      <c r="S29" s="155">
        <v>0</v>
      </c>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10594.73</v>
      </c>
      <c r="P30" s="155">
        <v>4554.3100000000004</v>
      </c>
      <c r="Q30" s="155">
        <v>1524.49</v>
      </c>
      <c r="R30" s="155">
        <v>1524.49</v>
      </c>
      <c r="S30" s="155">
        <v>1524.49</v>
      </c>
      <c r="T30" s="166">
        <f>SUM(O30:S30)</f>
        <v>19722.510000000006</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v>32014.3</v>
      </c>
      <c r="P31" s="155">
        <v>38014.629999999997</v>
      </c>
      <c r="Q31" s="155">
        <v>8856.9699999999993</v>
      </c>
      <c r="R31" s="155">
        <v>4573.47</v>
      </c>
      <c r="S31" s="155">
        <v>1524.49</v>
      </c>
      <c r="T31" s="166">
        <f>SUM(O31:S31)</f>
        <v>84983.86</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1.0000000009313226E-2</v>
      </c>
      <c r="P32" s="167">
        <f>P33-(P10+P14+P18+P22)</f>
        <v>-0.34999999997671694</v>
      </c>
      <c r="Q32" s="167">
        <f t="shared" ref="Q32:T32" si="7">Q33-(Q10+Q14+Q18+Q22)</f>
        <v>-0.33999999996740371</v>
      </c>
      <c r="R32" s="167">
        <f t="shared" si="7"/>
        <v>-1.0000000009313226E-2</v>
      </c>
      <c r="S32" s="167">
        <f t="shared" si="7"/>
        <v>1.0000000009313226E-2</v>
      </c>
      <c r="T32" s="166">
        <f t="shared" si="7"/>
        <v>-0.68000000016763806</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615121.66</v>
      </c>
      <c r="P33" s="153">
        <f t="shared" si="8"/>
        <v>580491.88</v>
      </c>
      <c r="Q33" s="153">
        <f t="shared" si="8"/>
        <v>610113.34000000008</v>
      </c>
      <c r="R33" s="153">
        <f t="shared" si="8"/>
        <v>405598.61</v>
      </c>
      <c r="S33" s="153">
        <f t="shared" si="8"/>
        <v>425352.88</v>
      </c>
      <c r="T33" s="164">
        <f t="shared" si="8"/>
        <v>2636678.37</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4000</v>
      </c>
      <c r="P34" s="155">
        <v>4000</v>
      </c>
      <c r="Q34" s="155">
        <v>4000</v>
      </c>
      <c r="R34" s="155">
        <v>4000</v>
      </c>
      <c r="S34" s="155">
        <v>20160.84</v>
      </c>
      <c r="T34" s="166">
        <f>SUM(O34:S34)</f>
        <v>36160.839999999997</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61078.53</v>
      </c>
      <c r="P35" s="155">
        <v>62580.84</v>
      </c>
      <c r="Q35" s="155">
        <v>68815.03</v>
      </c>
      <c r="R35" s="155">
        <v>58018.879999999997</v>
      </c>
      <c r="S35" s="155">
        <v>54977.75</v>
      </c>
      <c r="T35" s="166">
        <f>SUM(O35:S35)</f>
        <v>305471.03000000003</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550043.13</v>
      </c>
      <c r="P36" s="155">
        <f>513911.04</f>
        <v>513911.03999999998</v>
      </c>
      <c r="Q36" s="155">
        <v>537298.31000000006</v>
      </c>
      <c r="R36" s="155">
        <v>343579.73</v>
      </c>
      <c r="S36" s="155">
        <v>350214.29</v>
      </c>
      <c r="T36" s="166">
        <f>SUM(O36:S36)</f>
        <v>2295046.5</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203211.31</v>
      </c>
      <c r="P38" s="153">
        <f t="shared" si="10"/>
        <v>204729.7</v>
      </c>
      <c r="Q38" s="153">
        <f t="shared" si="10"/>
        <v>206553.7</v>
      </c>
      <c r="R38" s="153">
        <f t="shared" si="10"/>
        <v>252060.92</v>
      </c>
      <c r="S38" s="153">
        <f t="shared" si="10"/>
        <v>276638.53999999998</v>
      </c>
      <c r="T38" s="153">
        <f t="shared" si="10"/>
        <v>1143194.17</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v>0</v>
      </c>
      <c r="P39" s="155">
        <v>0</v>
      </c>
      <c r="Q39" s="155">
        <v>0</v>
      </c>
      <c r="R39" s="155">
        <v>0</v>
      </c>
      <c r="S39" s="155">
        <v>0</v>
      </c>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v>0</v>
      </c>
      <c r="P40" s="155">
        <v>0</v>
      </c>
      <c r="Q40" s="155">
        <v>0</v>
      </c>
      <c r="R40" s="155">
        <v>0</v>
      </c>
      <c r="S40" s="155">
        <v>0</v>
      </c>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v>203211.31</v>
      </c>
      <c r="P41" s="155">
        <v>204729.7</v>
      </c>
      <c r="Q41" s="155">
        <v>206553.7</v>
      </c>
      <c r="R41" s="155">
        <v>252060.92</v>
      </c>
      <c r="S41" s="155">
        <v>276638.53999999998</v>
      </c>
      <c r="T41" s="166">
        <f>SUM(O41:S41)</f>
        <v>1143194.17</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v>0</v>
      </c>
      <c r="P42" s="156">
        <v>0</v>
      </c>
      <c r="Q42" s="156">
        <v>0</v>
      </c>
      <c r="R42" s="156">
        <v>0</v>
      </c>
      <c r="S42" s="156">
        <v>0</v>
      </c>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860942</v>
      </c>
      <c r="P58" s="165">
        <f t="shared" ref="P58:T58" si="12">P26-SUM(P59:P100)</f>
        <v>827790.52</v>
      </c>
      <c r="Q58" s="165">
        <f t="shared" si="12"/>
        <v>827048.5</v>
      </c>
      <c r="R58" s="165">
        <f t="shared" si="12"/>
        <v>663757.49</v>
      </c>
      <c r="S58" s="165">
        <f t="shared" si="12"/>
        <v>705040.39999999991</v>
      </c>
      <c r="T58" s="171">
        <f t="shared" si="12"/>
        <v>3884578.9099999997</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zoomScale="106" zoomScaleNormal="106" workbookViewId="0">
      <pane xSplit="14" ySplit="5" topLeftCell="O32" activePane="bottomRight" state="frozen"/>
      <selection pane="topRight" activeCell="O1" sqref="O1"/>
      <selection pane="bottomLeft" activeCell="A6" sqref="A6"/>
      <selection pane="bottomRight" activeCell="Q9" sqref="Q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4</v>
      </c>
      <c r="B1" s="2" t="str">
        <f>IF(lang=1,labels!E75,IF(lang=2,labels!F75,"set lang"))</f>
        <v>Titre:</v>
      </c>
      <c r="C1" s="2"/>
      <c r="D1" s="2"/>
      <c r="E1" s="2"/>
      <c r="F1" s="2"/>
      <c r="G1" s="2"/>
      <c r="H1" s="2"/>
      <c r="I1" s="2"/>
      <c r="J1" s="2"/>
      <c r="K1" s="2"/>
      <c r="L1" s="2"/>
      <c r="M1" s="2"/>
      <c r="N1" s="2"/>
      <c r="O1" s="2" t="str">
        <f ca="1">VLOOKUP($A$1*1,Prg!$B$7:$H$31,3,FALSE)</f>
        <v>Amélioration de la sécurité alimentaire, des moyens d’existence et de la résilience des femmes</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MALI REP</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BE-BCE_KBO-0408643875-prog2022_commun_MLI</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346054.22460135177</v>
      </c>
      <c r="P8" s="153">
        <f t="shared" si="0"/>
        <v>540608.34678798355</v>
      </c>
      <c r="Q8" s="153">
        <f t="shared" si="0"/>
        <v>474750.34888102382</v>
      </c>
      <c r="R8" s="153">
        <f t="shared" si="0"/>
        <v>464857.39888102387</v>
      </c>
      <c r="S8" s="153">
        <f t="shared" si="0"/>
        <v>464003.68888102385</v>
      </c>
      <c r="T8" s="164">
        <f t="shared" si="0"/>
        <v>2290274.0080324071</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v>52946.931871123219</v>
      </c>
      <c r="P9" s="155">
        <v>28203.076787983598</v>
      </c>
      <c r="Q9" s="155">
        <v>26678.586150795294</v>
      </c>
      <c r="R9" s="155">
        <v>26678.586150795294</v>
      </c>
      <c r="S9" s="155">
        <v>26678.586150795294</v>
      </c>
      <c r="T9" s="166">
        <f>SUM(O9:S9)</f>
        <v>161185.76711149269</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v>206562.13</v>
      </c>
      <c r="P10" s="155">
        <v>425860.1</v>
      </c>
      <c r="Q10" s="155">
        <v>361526.6</v>
      </c>
      <c r="R10" s="155">
        <v>351633.65</v>
      </c>
      <c r="S10" s="155">
        <v>350779.94</v>
      </c>
      <c r="T10" s="166">
        <f>SUM(O10:S10)</f>
        <v>1696362.42</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v>86545.162730228563</v>
      </c>
      <c r="P11" s="155">
        <v>86545.17</v>
      </c>
      <c r="Q11" s="155">
        <v>86545.162730228563</v>
      </c>
      <c r="R11" s="155">
        <v>86545.162730228563</v>
      </c>
      <c r="S11" s="155">
        <v>86545.162730228563</v>
      </c>
      <c r="T11" s="166">
        <f>SUM(O11:S11)</f>
        <v>432725.82092091424</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21477.17</v>
      </c>
      <c r="P12" s="153">
        <f t="shared" si="1"/>
        <v>21477.17</v>
      </c>
      <c r="Q12" s="153">
        <f t="shared" si="1"/>
        <v>21477.17</v>
      </c>
      <c r="R12" s="153">
        <f t="shared" si="1"/>
        <v>21477.17</v>
      </c>
      <c r="S12" s="153">
        <f t="shared" si="1"/>
        <v>21477.17</v>
      </c>
      <c r="T12" s="164">
        <f t="shared" si="1"/>
        <v>107385.84999999999</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v>21477.17</v>
      </c>
      <c r="P14" s="155">
        <v>21477.17</v>
      </c>
      <c r="Q14" s="155">
        <v>21477.17</v>
      </c>
      <c r="R14" s="155">
        <v>21477.17</v>
      </c>
      <c r="S14" s="155">
        <v>21477.17</v>
      </c>
      <c r="T14" s="166">
        <f>SUM(O14:S14)</f>
        <v>107385.84999999999</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166904.48646520625</v>
      </c>
      <c r="P16" s="153">
        <f t="shared" si="2"/>
        <v>124134.61228607738</v>
      </c>
      <c r="Q16" s="153">
        <f t="shared" si="2"/>
        <v>157243.91850802369</v>
      </c>
      <c r="R16" s="153">
        <f t="shared" si="2"/>
        <v>210733.51476289899</v>
      </c>
      <c r="S16" s="153">
        <f t="shared" si="2"/>
        <v>285106.82526810298</v>
      </c>
      <c r="T16" s="164">
        <f t="shared" si="2"/>
        <v>944123.35729030939</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v>40499.990243259919</v>
      </c>
      <c r="P17" s="155">
        <v>4512.4922860773759</v>
      </c>
      <c r="Q17" s="155">
        <v>4512.4922860773759</v>
      </c>
      <c r="R17" s="155">
        <v>5122.2885409526971</v>
      </c>
      <c r="S17" s="155">
        <v>3818.8490461566976</v>
      </c>
      <c r="T17" s="166">
        <f>SUM(O17:S17)</f>
        <v>58466.112402524057</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v>13295.2</v>
      </c>
      <c r="P18" s="155">
        <f>25621.04+30891.79</f>
        <v>56512.83</v>
      </c>
      <c r="Q18" s="155">
        <f>28730.34+30891.79</f>
        <v>59622.130000000005</v>
      </c>
      <c r="R18" s="155">
        <v>72501.929999999993</v>
      </c>
      <c r="S18" s="155">
        <v>118178.68</v>
      </c>
      <c r="T18" s="166">
        <f>SUM(O18:S18)</f>
        <v>320110.77</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v>113109.29622194632</v>
      </c>
      <c r="P19" s="155">
        <v>63109.29</v>
      </c>
      <c r="Q19" s="155">
        <v>93109.296221946322</v>
      </c>
      <c r="R19" s="155">
        <v>133109.29622194631</v>
      </c>
      <c r="S19" s="155">
        <v>163109.29622194631</v>
      </c>
      <c r="T19" s="166">
        <f>SUM(O19:S19)</f>
        <v>565546.47488778527</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4000</v>
      </c>
      <c r="P20" s="153">
        <f t="shared" si="3"/>
        <v>4000</v>
      </c>
      <c r="Q20" s="153">
        <f t="shared" si="3"/>
        <v>4000</v>
      </c>
      <c r="R20" s="153">
        <f t="shared" si="3"/>
        <v>4000</v>
      </c>
      <c r="S20" s="153">
        <f t="shared" si="3"/>
        <v>4000</v>
      </c>
      <c r="T20" s="164">
        <f t="shared" si="3"/>
        <v>20000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4000</v>
      </c>
      <c r="P22" s="155">
        <v>4000</v>
      </c>
      <c r="Q22" s="155">
        <v>4000</v>
      </c>
      <c r="R22" s="155">
        <v>4000</v>
      </c>
      <c r="S22" s="155">
        <v>4000</v>
      </c>
      <c r="T22" s="166">
        <f>SUM(O22:S22)</f>
        <v>20000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538435.88106655795</v>
      </c>
      <c r="P26" s="153">
        <f t="shared" ref="P26:S26" si="4">P28+P33+P38</f>
        <v>690220.12907406094</v>
      </c>
      <c r="Q26" s="153">
        <f t="shared" si="4"/>
        <v>657471.43738904758</v>
      </c>
      <c r="R26" s="153">
        <f t="shared" si="4"/>
        <v>701068.08364392282</v>
      </c>
      <c r="S26" s="153">
        <f t="shared" si="4"/>
        <v>774587.68414912687</v>
      </c>
      <c r="T26" s="164">
        <f>SUM(O26:S26)</f>
        <v>3361783.2153227162</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93446.922114383138</v>
      </c>
      <c r="P28" s="153">
        <f t="shared" si="6"/>
        <v>32715.569074060975</v>
      </c>
      <c r="Q28" s="153">
        <f t="shared" si="6"/>
        <v>31191.078436872671</v>
      </c>
      <c r="R28" s="153">
        <f t="shared" si="6"/>
        <v>31800.874691747991</v>
      </c>
      <c r="S28" s="153">
        <f t="shared" si="6"/>
        <v>30497.435196951992</v>
      </c>
      <c r="T28" s="164">
        <f t="shared" si="6"/>
        <v>219651.87951401676</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v>35065.014952204168</v>
      </c>
      <c r="P29" s="155">
        <v>0</v>
      </c>
      <c r="Q29" s="155">
        <v>0</v>
      </c>
      <c r="R29" s="155">
        <v>0</v>
      </c>
      <c r="S29" s="155">
        <v>0</v>
      </c>
      <c r="T29" s="166">
        <f>SUM(O29:S29)</f>
        <v>35065.014952204168</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23080.954416510354</v>
      </c>
      <c r="P30" s="155">
        <v>1074.7658992177535</v>
      </c>
      <c r="Q30" s="155">
        <v>1074.7658992177535</v>
      </c>
      <c r="R30" s="155">
        <v>1684.5621540930742</v>
      </c>
      <c r="S30" s="155">
        <v>541.19417620184743</v>
      </c>
      <c r="T30" s="166">
        <f>SUM(O30:S30)</f>
        <v>27456.242545240781</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v>35300.952745668612</v>
      </c>
      <c r="P31" s="155">
        <v>31640.803174843222</v>
      </c>
      <c r="Q31" s="155">
        <v>30116.312537654918</v>
      </c>
      <c r="R31" s="155">
        <v>30116.312537654918</v>
      </c>
      <c r="S31" s="155">
        <v>29956.241020750145</v>
      </c>
      <c r="T31" s="166">
        <f>SUM(O31:S31)</f>
        <v>157130.62201657181</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245334.5</v>
      </c>
      <c r="P33" s="153">
        <f t="shared" si="8"/>
        <v>507850.1</v>
      </c>
      <c r="Q33" s="153">
        <f t="shared" si="8"/>
        <v>446625.9</v>
      </c>
      <c r="R33" s="153">
        <f t="shared" si="8"/>
        <v>449612.75</v>
      </c>
      <c r="S33" s="153">
        <f t="shared" si="8"/>
        <v>494435.79000000004</v>
      </c>
      <c r="T33" s="164">
        <f t="shared" si="8"/>
        <v>2143859.04</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7425.49</v>
      </c>
      <c r="P34" s="155">
        <v>9163.2000000000007</v>
      </c>
      <c r="Q34" s="155">
        <v>7608.08</v>
      </c>
      <c r="R34" s="155">
        <v>7096.02</v>
      </c>
      <c r="S34" s="155">
        <v>17096.21</v>
      </c>
      <c r="T34" s="166">
        <f>SUM(O34:S34)</f>
        <v>48389</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11818.48</v>
      </c>
      <c r="P35" s="155">
        <v>16015.01</v>
      </c>
      <c r="Q35" s="155">
        <v>16015</v>
      </c>
      <c r="R35" s="155">
        <v>26015</v>
      </c>
      <c r="S35" s="155">
        <v>46015.57</v>
      </c>
      <c r="T35" s="166">
        <f>SUM(O35:S35)</f>
        <v>115879.06</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226090.53</v>
      </c>
      <c r="P36" s="155">
        <f>451780.1+30891.79</f>
        <v>482671.88999999996</v>
      </c>
      <c r="Q36" s="155">
        <f>392111.03+30891.79</f>
        <v>423002.82</v>
      </c>
      <c r="R36" s="155">
        <v>416501.73</v>
      </c>
      <c r="S36" s="155">
        <v>431324.01</v>
      </c>
      <c r="T36" s="166">
        <f>SUM(O36:S36)</f>
        <v>1979590.98</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199654.45895217487</v>
      </c>
      <c r="P38" s="153">
        <f t="shared" si="10"/>
        <v>149654.46</v>
      </c>
      <c r="Q38" s="153">
        <f t="shared" si="10"/>
        <v>179654.45895217487</v>
      </c>
      <c r="R38" s="153">
        <f t="shared" si="10"/>
        <v>219654.45895217487</v>
      </c>
      <c r="S38" s="153">
        <f t="shared" si="10"/>
        <v>249654.45895217487</v>
      </c>
      <c r="T38" s="153">
        <f t="shared" si="10"/>
        <v>998272.29580869945</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v>199654.45895217487</v>
      </c>
      <c r="P41" s="155">
        <v>149654.46</v>
      </c>
      <c r="Q41" s="155">
        <v>179654.45895217487</v>
      </c>
      <c r="R41" s="155">
        <v>219654.45895217487</v>
      </c>
      <c r="S41" s="155">
        <v>249654.45895217487</v>
      </c>
      <c r="T41" s="166">
        <f>SUM(O41:S41)</f>
        <v>998272.29580869945</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538435.88106655795</v>
      </c>
      <c r="P58" s="165">
        <f t="shared" ref="P58:T58" si="12">P26-SUM(P59:P100)</f>
        <v>690220.12907406094</v>
      </c>
      <c r="Q58" s="165">
        <f t="shared" si="12"/>
        <v>657471.43738904758</v>
      </c>
      <c r="R58" s="165">
        <f t="shared" si="12"/>
        <v>701068.08364392282</v>
      </c>
      <c r="S58" s="165">
        <f t="shared" si="12"/>
        <v>774587.68414912687</v>
      </c>
      <c r="T58" s="171">
        <f t="shared" si="12"/>
        <v>3361783.2153227162</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zoomScale="90" zoomScaleNormal="90" workbookViewId="0">
      <pane xSplit="14" ySplit="5" topLeftCell="O14" activePane="bottomRight" state="frozen"/>
      <selection pane="topRight" activeCell="O1" sqref="O1"/>
      <selection pane="bottomLeft" activeCell="A6" sqref="A6"/>
      <selection pane="bottomRight" activeCell="R60" sqref="R60"/>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5</v>
      </c>
      <c r="B1" s="2" t="str">
        <f>IF(lang=1,labels!E75,IF(lang=2,labels!F75,"set lang"))</f>
        <v>Titre:</v>
      </c>
      <c r="C1" s="2"/>
      <c r="D1" s="2"/>
      <c r="E1" s="2"/>
      <c r="F1" s="2"/>
      <c r="G1" s="2"/>
      <c r="H1" s="2"/>
      <c r="I1" s="2"/>
      <c r="J1" s="2"/>
      <c r="K1" s="2"/>
      <c r="L1" s="2"/>
      <c r="M1" s="2"/>
      <c r="N1" s="2"/>
      <c r="O1" s="2" t="str">
        <f ca="1">VLOOKUP($A$1*1,Prg!$B$7:$H$31,3,FALSE)</f>
        <v>Autonomisation et résilience des femmes et des jeunes dans les filières agrosylvopastorales au Niger</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NIGER REP</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BE-BCE_KBO-0408643875-Prog2022_commun_NER</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647798.81999999995</v>
      </c>
      <c r="P8" s="153">
        <f t="shared" si="0"/>
        <v>424963.57</v>
      </c>
      <c r="Q8" s="153">
        <f t="shared" si="0"/>
        <v>307432.32000000001</v>
      </c>
      <c r="R8" s="153">
        <f t="shared" si="0"/>
        <v>207522.61</v>
      </c>
      <c r="S8" s="153">
        <f t="shared" si="0"/>
        <v>232256.27000000002</v>
      </c>
      <c r="T8" s="164">
        <f t="shared" si="0"/>
        <v>1819973.5899999999</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f>116336.38-38112</f>
        <v>78224.38</v>
      </c>
      <c r="P9" s="155"/>
      <c r="Q9" s="155"/>
      <c r="R9" s="155"/>
      <c r="S9" s="155"/>
      <c r="T9" s="166">
        <f>SUM(O9:S9)</f>
        <v>78224.38</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v>448133.81</v>
      </c>
      <c r="P10" s="155">
        <f>328770.49+12864.45</f>
        <v>341634.94</v>
      </c>
      <c r="Q10" s="155">
        <f>211700.67+12864.45</f>
        <v>224565.12000000002</v>
      </c>
      <c r="R10" s="155">
        <v>126938.06</v>
      </c>
      <c r="S10" s="155">
        <v>151671.72</v>
      </c>
      <c r="T10" s="166">
        <f>SUM(O10:S10)</f>
        <v>1292943.6499999999</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f>83328.63+38112</f>
        <v>121440.63</v>
      </c>
      <c r="P11" s="155">
        <v>83328.63</v>
      </c>
      <c r="Q11" s="155">
        <v>82867.199999999997</v>
      </c>
      <c r="R11" s="155">
        <v>80584.55</v>
      </c>
      <c r="S11" s="155">
        <v>80584.55</v>
      </c>
      <c r="T11" s="166">
        <f>SUM(O11:S11)</f>
        <v>448805.56</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10671.43</v>
      </c>
      <c r="P12" s="153">
        <f t="shared" si="1"/>
        <v>38112.25</v>
      </c>
      <c r="Q12" s="153">
        <f t="shared" si="1"/>
        <v>30489.800000000003</v>
      </c>
      <c r="R12" s="153">
        <f t="shared" si="1"/>
        <v>7622.45</v>
      </c>
      <c r="S12" s="153">
        <f t="shared" si="1"/>
        <v>0</v>
      </c>
      <c r="T12" s="164">
        <f t="shared" si="1"/>
        <v>86895.930000000008</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v>10671.43</v>
      </c>
      <c r="P14" s="155">
        <f>33538.78+4573.47</f>
        <v>38112.25</v>
      </c>
      <c r="Q14" s="155">
        <f>25916.33+4573.47</f>
        <v>30489.800000000003</v>
      </c>
      <c r="R14" s="155">
        <v>7622.45</v>
      </c>
      <c r="S14" s="155"/>
      <c r="T14" s="166">
        <f>SUM(O14:S14)</f>
        <v>86895.930000000008</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248569.22</v>
      </c>
      <c r="P16" s="153">
        <f t="shared" si="2"/>
        <v>189431.62</v>
      </c>
      <c r="Q16" s="153">
        <f t="shared" si="2"/>
        <v>139851.10999999999</v>
      </c>
      <c r="R16" s="153">
        <f t="shared" si="2"/>
        <v>124364.92</v>
      </c>
      <c r="S16" s="153">
        <f t="shared" si="2"/>
        <v>124364.92</v>
      </c>
      <c r="T16" s="164">
        <f t="shared" si="2"/>
        <v>826581.79</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v>48707.46</v>
      </c>
      <c r="P17" s="155">
        <v>971.1</v>
      </c>
      <c r="Q17" s="155">
        <v>971.1</v>
      </c>
      <c r="R17" s="155"/>
      <c r="S17" s="155"/>
      <c r="T17" s="166">
        <f>SUM(O17:S17)</f>
        <v>50649.659999999996</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v>38722.050000000003</v>
      </c>
      <c r="P18" s="155">
        <f>20428.17+6892.64</f>
        <v>27320.809999999998</v>
      </c>
      <c r="Q18" s="155">
        <f>13202.08+6892.64</f>
        <v>20094.72</v>
      </c>
      <c r="R18" s="155">
        <v>5579.63</v>
      </c>
      <c r="S18" s="155">
        <v>5579.63</v>
      </c>
      <c r="T18" s="166">
        <f>SUM(O18:S18)</f>
        <v>97296.840000000011</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v>161139.71</v>
      </c>
      <c r="P19" s="155">
        <v>161139.71</v>
      </c>
      <c r="Q19" s="155">
        <v>118785.29</v>
      </c>
      <c r="R19" s="155">
        <v>118785.29</v>
      </c>
      <c r="S19" s="155">
        <v>118785.29</v>
      </c>
      <c r="T19" s="166">
        <f>SUM(O19:S19)</f>
        <v>678635.29</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4000</v>
      </c>
      <c r="P20" s="153">
        <f t="shared" si="3"/>
        <v>4000</v>
      </c>
      <c r="Q20" s="153">
        <f t="shared" si="3"/>
        <v>4000</v>
      </c>
      <c r="R20" s="153">
        <f t="shared" si="3"/>
        <v>4000</v>
      </c>
      <c r="S20" s="153">
        <f t="shared" si="3"/>
        <v>4000</v>
      </c>
      <c r="T20" s="164">
        <f t="shared" si="3"/>
        <v>20000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4000</v>
      </c>
      <c r="P22" s="155">
        <v>4000</v>
      </c>
      <c r="Q22" s="155">
        <v>4000</v>
      </c>
      <c r="R22" s="155">
        <v>4000</v>
      </c>
      <c r="S22" s="155">
        <v>4000</v>
      </c>
      <c r="T22" s="166">
        <f>SUM(O22:S22)</f>
        <v>20000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911039.47</v>
      </c>
      <c r="P26" s="153">
        <f t="shared" ref="P26:S26" si="4">P28+P33+P38</f>
        <v>656507.66381119995</v>
      </c>
      <c r="Q26" s="153">
        <f t="shared" si="4"/>
        <v>481773.44999999995</v>
      </c>
      <c r="R26" s="153">
        <f t="shared" si="4"/>
        <v>343509.98</v>
      </c>
      <c r="S26" s="153">
        <f t="shared" si="4"/>
        <v>360621.19</v>
      </c>
      <c r="T26" s="164">
        <f>SUM(O26:S26)</f>
        <v>2753451.7538111997</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126931.84</v>
      </c>
      <c r="P28" s="153">
        <f t="shared" si="6"/>
        <v>971.1</v>
      </c>
      <c r="Q28" s="153">
        <f t="shared" si="6"/>
        <v>971.1</v>
      </c>
      <c r="R28" s="153">
        <f t="shared" si="6"/>
        <v>0</v>
      </c>
      <c r="S28" s="153">
        <f t="shared" si="6"/>
        <v>0</v>
      </c>
      <c r="T28" s="164">
        <f t="shared" si="6"/>
        <v>128874.04000000001</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f>129599.44-38112</f>
        <v>91487.44</v>
      </c>
      <c r="P29" s="155">
        <v>971.1</v>
      </c>
      <c r="Q29" s="155">
        <v>971.1</v>
      </c>
      <c r="R29" s="155"/>
      <c r="S29" s="155"/>
      <c r="T29" s="166">
        <f>SUM(O29:S29)</f>
        <v>93429.640000000014</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35444.400000000001</v>
      </c>
      <c r="P30" s="155"/>
      <c r="Q30" s="155"/>
      <c r="R30" s="155"/>
      <c r="S30" s="155"/>
      <c r="T30" s="166">
        <f>SUM(O30:S30)</f>
        <v>35444.400000000001</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0.21999999997206032</v>
      </c>
      <c r="Q32" s="167">
        <f t="shared" si="7"/>
        <v>0.21999999997206032</v>
      </c>
      <c r="R32" s="167">
        <f t="shared" si="7"/>
        <v>0</v>
      </c>
      <c r="S32" s="167">
        <f t="shared" si="7"/>
        <v>0</v>
      </c>
      <c r="T32" s="166">
        <f t="shared" si="7"/>
        <v>0.43999999994412065</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501527.29000000004</v>
      </c>
      <c r="P33" s="153">
        <f t="shared" si="8"/>
        <v>411068.22</v>
      </c>
      <c r="Q33" s="153">
        <f t="shared" si="8"/>
        <v>279149.86</v>
      </c>
      <c r="R33" s="153">
        <f t="shared" si="8"/>
        <v>144140.14000000001</v>
      </c>
      <c r="S33" s="153">
        <f t="shared" si="8"/>
        <v>161251.35</v>
      </c>
      <c r="T33" s="164">
        <f t="shared" si="8"/>
        <v>1497136.8599999999</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25226.7</v>
      </c>
      <c r="P34" s="154">
        <f>25226.7+6939.78</f>
        <v>32166.48</v>
      </c>
      <c r="Q34" s="155">
        <f>21567.92+6939.78</f>
        <v>28507.699999999997</v>
      </c>
      <c r="R34" s="155">
        <v>21567.919999999998</v>
      </c>
      <c r="S34" s="155">
        <v>16232.21</v>
      </c>
      <c r="T34" s="166">
        <f>SUM(O34:S34)</f>
        <v>123701.01000000001</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8964</v>
      </c>
      <c r="P35" s="155">
        <v>8964.2999999999993</v>
      </c>
      <c r="Q35" s="155">
        <v>5396.7</v>
      </c>
      <c r="R35" s="155">
        <v>5396.7</v>
      </c>
      <c r="S35" s="155">
        <v>5396.7</v>
      </c>
      <c r="T35" s="166">
        <f>SUM(O35:S35)</f>
        <v>34118.400000000001</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467336.59</v>
      </c>
      <c r="P36" s="155">
        <f>352546.44+17391</f>
        <v>369937.44</v>
      </c>
      <c r="Q36" s="155">
        <f>227854.46+17391</f>
        <v>245245.46</v>
      </c>
      <c r="R36" s="155">
        <v>117175.52</v>
      </c>
      <c r="S36" s="155">
        <v>139622.44</v>
      </c>
      <c r="T36" s="166">
        <f>SUM(O36:S36)</f>
        <v>1339317.45</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3.8112000038381666E-3</v>
      </c>
      <c r="Q37" s="167">
        <f t="shared" si="9"/>
        <v>0</v>
      </c>
      <c r="R37" s="167">
        <f t="shared" si="9"/>
        <v>0</v>
      </c>
      <c r="S37" s="167">
        <f t="shared" si="9"/>
        <v>0</v>
      </c>
      <c r="T37" s="166">
        <f t="shared" si="9"/>
        <v>3.8111999165266752E-3</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282580.33999999997</v>
      </c>
      <c r="P38" s="153">
        <f t="shared" si="10"/>
        <v>244468.3438112</v>
      </c>
      <c r="Q38" s="153">
        <f t="shared" si="10"/>
        <v>201652.49</v>
      </c>
      <c r="R38" s="153">
        <f t="shared" si="10"/>
        <v>199369.84</v>
      </c>
      <c r="S38" s="153">
        <f t="shared" si="10"/>
        <v>199369.84</v>
      </c>
      <c r="T38" s="153">
        <f t="shared" si="10"/>
        <v>1127440.8538112</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f>244468.34+38112</f>
        <v>282580.33999999997</v>
      </c>
      <c r="P41" s="155">
        <v>244468.3438112</v>
      </c>
      <c r="Q41" s="155">
        <v>201652.49</v>
      </c>
      <c r="R41" s="155">
        <v>199369.84</v>
      </c>
      <c r="S41" s="155">
        <v>199369.84</v>
      </c>
      <c r="T41" s="166">
        <f>SUM(O41:S41)</f>
        <v>1127440.8538112</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911039.47</v>
      </c>
      <c r="P58" s="165">
        <f t="shared" ref="P58:T58" si="12">P26-SUM(P59:P100)</f>
        <v>656507.66381119995</v>
      </c>
      <c r="Q58" s="165">
        <f t="shared" si="12"/>
        <v>481773.44999999995</v>
      </c>
      <c r="R58" s="165">
        <f t="shared" si="12"/>
        <v>343509.98</v>
      </c>
      <c r="S58" s="165">
        <f t="shared" si="12"/>
        <v>360621.19</v>
      </c>
      <c r="T58" s="171">
        <f t="shared" si="12"/>
        <v>2753451.7538111997</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zoomScale="124" zoomScaleNormal="124" workbookViewId="0">
      <pane xSplit="14" ySplit="5" topLeftCell="O29" activePane="bottomRight" state="frozen"/>
      <selection pane="topRight" activeCell="O1" sqref="O1"/>
      <selection pane="bottomLeft" activeCell="A6" sqref="A6"/>
      <selection pane="bottomRight" activeCell="Q36" sqref="Q36"/>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6</v>
      </c>
      <c r="B1" s="2" t="str">
        <f>IF(lang=1,labels!E75,IF(lang=2,labels!F75,"set lang"))</f>
        <v>Titre:</v>
      </c>
      <c r="C1" s="2"/>
      <c r="D1" s="2"/>
      <c r="E1" s="2"/>
      <c r="F1" s="2"/>
      <c r="G1" s="2"/>
      <c r="H1" s="2"/>
      <c r="I1" s="2"/>
      <c r="J1" s="2"/>
      <c r="K1" s="2"/>
      <c r="L1" s="2"/>
      <c r="M1" s="2"/>
      <c r="N1" s="2"/>
      <c r="O1" s="2" t="str">
        <f ca="1">VLOOKUP($A$1*1,Prg!$B$7:$H$31,3,FALSE)</f>
        <v>Women, youth and other SSPs increase benefits in the fresh vegetables value chain as change agents</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PALESTINE</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BE-BCE_KBO-0408643875-Prog2022_commun_PAL</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202811.13</v>
      </c>
      <c r="P8" s="153">
        <f t="shared" si="0"/>
        <v>476241.61</v>
      </c>
      <c r="Q8" s="153">
        <f t="shared" si="0"/>
        <v>579235.73</v>
      </c>
      <c r="R8" s="153">
        <f t="shared" si="0"/>
        <v>490626.77849323419</v>
      </c>
      <c r="S8" s="153">
        <f t="shared" si="0"/>
        <v>351313.12535037636</v>
      </c>
      <c r="T8" s="164">
        <f t="shared" si="0"/>
        <v>2100228.3738436103</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v>2700</v>
      </c>
      <c r="P9" s="155">
        <v>0</v>
      </c>
      <c r="Q9" s="155">
        <v>0</v>
      </c>
      <c r="R9" s="155">
        <v>0</v>
      </c>
      <c r="S9" s="155">
        <v>0</v>
      </c>
      <c r="T9" s="166">
        <f>SUM(O9:S9)</f>
        <v>2700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v>117593.33</v>
      </c>
      <c r="P10" s="155">
        <f>348855.43+13000+4362.44</f>
        <v>366217.87</v>
      </c>
      <c r="Q10" s="155">
        <f>440273.99+28938</f>
        <v>469211.99</v>
      </c>
      <c r="R10" s="155">
        <v>380603.0384932342</v>
      </c>
      <c r="S10" s="155">
        <v>241289.38535037637</v>
      </c>
      <c r="T10" s="166">
        <f>SUM(O10:S10)</f>
        <v>1574915.6138436105</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v>82517.8</v>
      </c>
      <c r="P11" s="155">
        <v>110023.74</v>
      </c>
      <c r="Q11" s="155">
        <v>110023.74</v>
      </c>
      <c r="R11" s="155">
        <v>110023.74</v>
      </c>
      <c r="S11" s="155">
        <v>110023.74</v>
      </c>
      <c r="T11" s="166">
        <f>SUM(O11:S11)</f>
        <v>522612.76</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161238.32999999999</v>
      </c>
      <c r="Q12" s="153">
        <f t="shared" si="1"/>
        <v>16666.97</v>
      </c>
      <c r="R12" s="153">
        <f t="shared" si="1"/>
        <v>0</v>
      </c>
      <c r="S12" s="153">
        <f t="shared" si="1"/>
        <v>0</v>
      </c>
      <c r="T12" s="164">
        <f t="shared" si="1"/>
        <v>177905.3</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v>161238.32999999999</v>
      </c>
      <c r="Q14" s="155">
        <v>16666.97</v>
      </c>
      <c r="R14" s="155"/>
      <c r="S14" s="155"/>
      <c r="T14" s="166">
        <f>SUM(O14:S14)</f>
        <v>177905.3</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110718.40999999999</v>
      </c>
      <c r="P16" s="153">
        <f t="shared" si="2"/>
        <v>219588.71</v>
      </c>
      <c r="Q16" s="153">
        <f t="shared" si="2"/>
        <v>183560.56999999998</v>
      </c>
      <c r="R16" s="153">
        <f t="shared" si="2"/>
        <v>178560.91999999998</v>
      </c>
      <c r="S16" s="153">
        <f t="shared" si="2"/>
        <v>163560.91999999998</v>
      </c>
      <c r="T16" s="164">
        <f t="shared" si="2"/>
        <v>855989.53</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v>12349.9</v>
      </c>
      <c r="P18" s="155">
        <f>47799.87+11575.51</f>
        <v>59375.380000000005</v>
      </c>
      <c r="Q18" s="155">
        <v>35799.519999999997</v>
      </c>
      <c r="R18" s="155">
        <v>30799.87</v>
      </c>
      <c r="S18" s="155">
        <v>15799.87</v>
      </c>
      <c r="T18" s="166">
        <f>SUM(O18:S18)</f>
        <v>154124.53999999998</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v>98368.51</v>
      </c>
      <c r="P19" s="155">
        <f>160213.33</f>
        <v>160213.32999999999</v>
      </c>
      <c r="Q19" s="155">
        <f>147761.05</f>
        <v>147761.04999999999</v>
      </c>
      <c r="R19" s="155">
        <v>147761.04999999999</v>
      </c>
      <c r="S19" s="155">
        <v>147761.04999999999</v>
      </c>
      <c r="T19" s="166">
        <f>SUM(O19:S19)</f>
        <v>701864.99</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3000</v>
      </c>
      <c r="P20" s="153">
        <f t="shared" si="3"/>
        <v>3000</v>
      </c>
      <c r="Q20" s="153">
        <f t="shared" si="3"/>
        <v>3000</v>
      </c>
      <c r="R20" s="153">
        <f t="shared" si="3"/>
        <v>3000</v>
      </c>
      <c r="S20" s="153">
        <f t="shared" si="3"/>
        <v>3000</v>
      </c>
      <c r="T20" s="164">
        <f t="shared" si="3"/>
        <v>15000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3000</v>
      </c>
      <c r="P22" s="155">
        <v>3000</v>
      </c>
      <c r="Q22" s="155">
        <v>3000</v>
      </c>
      <c r="R22" s="155">
        <v>3000</v>
      </c>
      <c r="S22" s="155">
        <v>3000</v>
      </c>
      <c r="T22" s="166">
        <f>SUM(O22:S22)</f>
        <v>15000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316529.54000000004</v>
      </c>
      <c r="P26" s="153">
        <f t="shared" ref="P26:S26" si="4">P28+P33+P38</f>
        <v>860068.7</v>
      </c>
      <c r="Q26" s="153">
        <f t="shared" si="4"/>
        <v>782463.27</v>
      </c>
      <c r="R26" s="153">
        <f t="shared" si="4"/>
        <v>672187.69849323423</v>
      </c>
      <c r="S26" s="153">
        <f t="shared" si="4"/>
        <v>517874.0453503764</v>
      </c>
      <c r="T26" s="164">
        <f>SUM(O26:S26)</f>
        <v>3149123.2538436106</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2700</v>
      </c>
      <c r="P28" s="153">
        <f t="shared" si="6"/>
        <v>0</v>
      </c>
      <c r="Q28" s="153">
        <f t="shared" si="6"/>
        <v>0</v>
      </c>
      <c r="R28" s="153">
        <f t="shared" si="6"/>
        <v>0</v>
      </c>
      <c r="S28" s="153">
        <f t="shared" si="6"/>
        <v>0</v>
      </c>
      <c r="T28" s="164">
        <f t="shared" si="6"/>
        <v>2700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2700</v>
      </c>
      <c r="P30" s="155"/>
      <c r="Q30" s="155"/>
      <c r="R30" s="155"/>
      <c r="S30" s="155"/>
      <c r="T30" s="166">
        <f>SUM(O30:S30)</f>
        <v>2700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5.0000000046566129E-2</v>
      </c>
      <c r="Q32" s="167">
        <f t="shared" si="7"/>
        <v>0</v>
      </c>
      <c r="R32" s="167">
        <f t="shared" si="7"/>
        <v>0</v>
      </c>
      <c r="S32" s="167">
        <f t="shared" si="7"/>
        <v>0</v>
      </c>
      <c r="T32" s="166">
        <f t="shared" si="7"/>
        <v>4.9999999813735485E-2</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132943.23000000001</v>
      </c>
      <c r="P33" s="153">
        <f t="shared" si="8"/>
        <v>589831.63</v>
      </c>
      <c r="Q33" s="153">
        <f t="shared" si="8"/>
        <v>524678.48</v>
      </c>
      <c r="R33" s="153">
        <f t="shared" si="8"/>
        <v>414402.90849323419</v>
      </c>
      <c r="S33" s="153">
        <f t="shared" si="8"/>
        <v>260089.25535037636</v>
      </c>
      <c r="T33" s="164">
        <f t="shared" si="8"/>
        <v>1921945.5038436104</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14960</v>
      </c>
      <c r="P34" s="154">
        <v>14960</v>
      </c>
      <c r="Q34" s="154">
        <v>14960</v>
      </c>
      <c r="R34" s="154">
        <v>14960</v>
      </c>
      <c r="S34" s="154">
        <v>14960</v>
      </c>
      <c r="T34" s="166">
        <f>SUM(O34:S34)</f>
        <v>74800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24349.9</v>
      </c>
      <c r="P35" s="155">
        <v>27349.87</v>
      </c>
      <c r="Q35" s="155">
        <v>27350</v>
      </c>
      <c r="R35" s="155">
        <v>27349.87</v>
      </c>
      <c r="S35" s="155">
        <v>27914.87</v>
      </c>
      <c r="T35" s="166">
        <f>SUM(O35:S35)</f>
        <v>134314.51</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93633.33</v>
      </c>
      <c r="P36" s="155">
        <f>518583.76+28938</f>
        <v>547521.76</v>
      </c>
      <c r="Q36" s="155">
        <f>453430.48+28938</f>
        <v>482368.48</v>
      </c>
      <c r="R36" s="155">
        <v>372093.0384932342</v>
      </c>
      <c r="S36" s="155">
        <v>217214.38535037637</v>
      </c>
      <c r="T36" s="166">
        <f>SUM(O36:S36)</f>
        <v>1712830.9938436104</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180886.31</v>
      </c>
      <c r="P38" s="153">
        <f t="shared" si="10"/>
        <v>270237.07</v>
      </c>
      <c r="Q38" s="153">
        <f t="shared" si="10"/>
        <v>257784.79</v>
      </c>
      <c r="R38" s="153">
        <f t="shared" si="10"/>
        <v>257784.79</v>
      </c>
      <c r="S38" s="153">
        <f t="shared" si="10"/>
        <v>257784.79</v>
      </c>
      <c r="T38" s="153">
        <f t="shared" si="10"/>
        <v>1224477.75</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v>180886.31</v>
      </c>
      <c r="P41" s="155">
        <f>270237.07</f>
        <v>270237.07</v>
      </c>
      <c r="Q41" s="155">
        <f>257784.79</f>
        <v>257784.79</v>
      </c>
      <c r="R41" s="155">
        <v>257784.79</v>
      </c>
      <c r="S41" s="155">
        <v>257784.79</v>
      </c>
      <c r="T41" s="166">
        <f>SUM(O41:S41)</f>
        <v>1224477.75</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316529.54000000004</v>
      </c>
      <c r="P58" s="165">
        <f t="shared" ref="P58:T58" si="12">P26-SUM(P59:P100)</f>
        <v>860068.7</v>
      </c>
      <c r="Q58" s="165">
        <f t="shared" si="12"/>
        <v>782463.27</v>
      </c>
      <c r="R58" s="165">
        <f t="shared" si="12"/>
        <v>672187.69849323423</v>
      </c>
      <c r="S58" s="165">
        <f t="shared" si="12"/>
        <v>517874.0453503764</v>
      </c>
      <c r="T58" s="171">
        <f t="shared" si="12"/>
        <v>3149123.2538436106</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zoomScaleNormal="100" workbookViewId="0">
      <pane xSplit="14" ySplit="5" topLeftCell="O23" activePane="bottomRight" state="frozen"/>
      <selection pane="topRight" activeCell="O1" sqref="O1"/>
      <selection pane="bottomLeft" activeCell="A6" sqref="A6"/>
      <selection pane="bottomRight" activeCell="Q36" sqref="Q36"/>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7</v>
      </c>
      <c r="B1" s="2" t="str">
        <f>IF(lang=1,labels!E75,IF(lang=2,labels!F75,"set lang"))</f>
        <v>Titre:</v>
      </c>
      <c r="C1" s="2"/>
      <c r="D1" s="2"/>
      <c r="E1" s="2"/>
      <c r="F1" s="2"/>
      <c r="G1" s="2"/>
      <c r="H1" s="2"/>
      <c r="I1" s="2"/>
      <c r="J1" s="2"/>
      <c r="K1" s="2"/>
      <c r="L1" s="2"/>
      <c r="M1" s="2"/>
      <c r="N1" s="2"/>
      <c r="O1" s="2" t="str">
        <f ca="1">VLOOKUP($A$1*1,Prg!$B$7:$H$31,3,FALSE)</f>
        <v>Renforcer la sécurité alimentaire et les moyens d’existence des (jeunes) femmes au Sud et Nord Kivu</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CONGO (DEMOCRATIC REP.)</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geo</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BE-BCE_KBO-0408643875-Prog2022_commun_RDC</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304477.68454545457</v>
      </c>
      <c r="P8" s="153">
        <f t="shared" si="0"/>
        <v>288215.32454545499</v>
      </c>
      <c r="Q8" s="153">
        <f t="shared" si="0"/>
        <v>217663.48272727299</v>
      </c>
      <c r="R8" s="153">
        <f t="shared" si="0"/>
        <v>319395.81272727274</v>
      </c>
      <c r="S8" s="153">
        <f t="shared" si="0"/>
        <v>255885.28454545455</v>
      </c>
      <c r="T8" s="164">
        <f t="shared" si="0"/>
        <v>1385637.5890909098</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v>21036.62</v>
      </c>
      <c r="P9" s="155">
        <v>0</v>
      </c>
      <c r="Q9" s="155">
        <v>3640</v>
      </c>
      <c r="R9" s="155">
        <v>7280</v>
      </c>
      <c r="S9" s="155">
        <v>3640</v>
      </c>
      <c r="T9" s="166">
        <f>SUM(O9:S9)</f>
        <v>35596.619999999995</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v>215155.06454545454</v>
      </c>
      <c r="P10" s="155">
        <f>206520.324545455+13409</f>
        <v>219929.32454545499</v>
      </c>
      <c r="Q10" s="155">
        <f>132328.482727273+13409</f>
        <v>145737.48272727299</v>
      </c>
      <c r="R10" s="155">
        <v>243829.81272727274</v>
      </c>
      <c r="S10" s="155">
        <v>183959.28454545455</v>
      </c>
      <c r="T10" s="166">
        <f>SUM(O10:S10)</f>
        <v>1008610.9690909098</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v>68286</v>
      </c>
      <c r="P11" s="155">
        <v>68286</v>
      </c>
      <c r="Q11" s="155">
        <v>68286</v>
      </c>
      <c r="R11" s="155">
        <v>68286</v>
      </c>
      <c r="S11" s="155">
        <v>68286</v>
      </c>
      <c r="T11" s="166">
        <f>SUM(O11:S11)</f>
        <v>341430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9017.18</v>
      </c>
      <c r="P12" s="153">
        <f t="shared" si="1"/>
        <v>10017.18</v>
      </c>
      <c r="Q12" s="153">
        <f t="shared" si="1"/>
        <v>10017.18</v>
      </c>
      <c r="R12" s="153">
        <f t="shared" si="1"/>
        <v>9017.18</v>
      </c>
      <c r="S12" s="153">
        <f t="shared" si="1"/>
        <v>9017.18</v>
      </c>
      <c r="T12" s="164">
        <f t="shared" si="1"/>
        <v>47085.9</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v>6767.18</v>
      </c>
      <c r="P14" s="155">
        <f>6767.18+1000</f>
        <v>7767.18</v>
      </c>
      <c r="Q14" s="155">
        <f>6767.18+1000</f>
        <v>7767.18</v>
      </c>
      <c r="R14" s="155">
        <v>6767.18</v>
      </c>
      <c r="S14" s="155">
        <v>6767.18</v>
      </c>
      <c r="T14" s="166">
        <f>SUM(O14:S14)</f>
        <v>35835.9</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v>2250</v>
      </c>
      <c r="P15" s="155">
        <v>2250</v>
      </c>
      <c r="Q15" s="155">
        <v>2250</v>
      </c>
      <c r="R15" s="155">
        <v>2250</v>
      </c>
      <c r="S15" s="155">
        <v>2250</v>
      </c>
      <c r="T15" s="166">
        <f>SUM(O15:S15)</f>
        <v>11250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157560</v>
      </c>
      <c r="P16" s="153">
        <f t="shared" si="2"/>
        <v>160535.28</v>
      </c>
      <c r="Q16" s="153">
        <f t="shared" si="2"/>
        <v>160535.28</v>
      </c>
      <c r="R16" s="153">
        <f t="shared" si="2"/>
        <v>154360</v>
      </c>
      <c r="S16" s="153">
        <f t="shared" si="2"/>
        <v>154360</v>
      </c>
      <c r="T16" s="164">
        <f t="shared" si="2"/>
        <v>787350.55999999994</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v>3200</v>
      </c>
      <c r="P17" s="155">
        <v>0</v>
      </c>
      <c r="Q17" s="155">
        <v>0</v>
      </c>
      <c r="R17" s="155">
        <v>0</v>
      </c>
      <c r="S17" s="155">
        <v>0</v>
      </c>
      <c r="T17" s="166">
        <f>SUM(O17:S17)</f>
        <v>3200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v>38173.56</v>
      </c>
      <c r="P18" s="155">
        <f>38173.56+6175.28</f>
        <v>44348.84</v>
      </c>
      <c r="Q18" s="155">
        <f>38173.56+6175.28</f>
        <v>44348.84</v>
      </c>
      <c r="R18" s="155">
        <v>38173.56</v>
      </c>
      <c r="S18" s="155">
        <v>38173.56</v>
      </c>
      <c r="T18" s="166">
        <f>SUM(O18:S18)</f>
        <v>203218.36</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v>116186.44</v>
      </c>
      <c r="P19" s="155">
        <v>116186.44</v>
      </c>
      <c r="Q19" s="155">
        <v>116186.44</v>
      </c>
      <c r="R19" s="155">
        <v>116186.44</v>
      </c>
      <c r="S19" s="155">
        <v>116186.44</v>
      </c>
      <c r="T19" s="166">
        <f>SUM(O19:S19)</f>
        <v>580932.19999999995</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4000</v>
      </c>
      <c r="P20" s="153">
        <f t="shared" si="3"/>
        <v>4000</v>
      </c>
      <c r="Q20" s="153">
        <f t="shared" si="3"/>
        <v>4000</v>
      </c>
      <c r="R20" s="153">
        <f t="shared" si="3"/>
        <v>4000</v>
      </c>
      <c r="S20" s="153">
        <f t="shared" si="3"/>
        <v>4000</v>
      </c>
      <c r="T20" s="164">
        <f t="shared" si="3"/>
        <v>20000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4000</v>
      </c>
      <c r="P22" s="155">
        <v>4000</v>
      </c>
      <c r="Q22" s="155">
        <v>4000</v>
      </c>
      <c r="R22" s="155">
        <v>4000</v>
      </c>
      <c r="S22" s="155">
        <v>4000</v>
      </c>
      <c r="T22" s="166">
        <f>SUM(O22:S22)</f>
        <v>20000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475054.86454545456</v>
      </c>
      <c r="P26" s="153">
        <f t="shared" ref="P26:S26" si="4">P28+P33+P38</f>
        <v>462767.78454545472</v>
      </c>
      <c r="Q26" s="153">
        <f t="shared" si="4"/>
        <v>392215.94272727275</v>
      </c>
      <c r="R26" s="153">
        <f t="shared" si="4"/>
        <v>486772.99272727274</v>
      </c>
      <c r="S26" s="153">
        <f t="shared" si="4"/>
        <v>423262.4645454546</v>
      </c>
      <c r="T26" s="164">
        <f>SUM(O26:S26)</f>
        <v>2240074.0490909093</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24236.62</v>
      </c>
      <c r="P28" s="153">
        <f t="shared" si="6"/>
        <v>0</v>
      </c>
      <c r="Q28" s="153">
        <f t="shared" si="6"/>
        <v>3640</v>
      </c>
      <c r="R28" s="153">
        <f t="shared" si="6"/>
        <v>7280</v>
      </c>
      <c r="S28" s="153">
        <f t="shared" si="6"/>
        <v>3640</v>
      </c>
      <c r="T28" s="164">
        <f t="shared" si="6"/>
        <v>38796.619999999995</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v>13500</v>
      </c>
      <c r="P29" s="155"/>
      <c r="Q29" s="155"/>
      <c r="R29" s="155"/>
      <c r="S29" s="155"/>
      <c r="T29" s="166">
        <f>SUM(O29:S29)</f>
        <v>13500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7096.62</v>
      </c>
      <c r="P30" s="155"/>
      <c r="Q30" s="155"/>
      <c r="R30" s="155"/>
      <c r="S30" s="155"/>
      <c r="T30" s="166">
        <f>SUM(O30:S30)</f>
        <v>7096.62</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v>3640</v>
      </c>
      <c r="P31" s="155"/>
      <c r="Q31" s="155">
        <v>3640</v>
      </c>
      <c r="R31" s="155">
        <v>7280</v>
      </c>
      <c r="S31" s="155">
        <v>3640</v>
      </c>
      <c r="T31" s="166">
        <f>SUM(O31:S31)</f>
        <v>18200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-2.3283064365386963E-10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264095.80454545456</v>
      </c>
      <c r="P33" s="153">
        <f t="shared" si="8"/>
        <v>276045.34454545472</v>
      </c>
      <c r="Q33" s="153">
        <f t="shared" si="8"/>
        <v>201853.50272727275</v>
      </c>
      <c r="R33" s="153">
        <f t="shared" si="8"/>
        <v>292770.55272727273</v>
      </c>
      <c r="S33" s="153">
        <f t="shared" si="8"/>
        <v>232900.02454545457</v>
      </c>
      <c r="T33" s="164">
        <f t="shared" si="8"/>
        <v>1267665.2290909095</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47700.4</v>
      </c>
      <c r="P34" s="154">
        <f>47700.4+6175.28</f>
        <v>53875.68</v>
      </c>
      <c r="Q34" s="154">
        <f>34700.4+6175.28</f>
        <v>40875.68</v>
      </c>
      <c r="R34" s="154">
        <v>57700.4</v>
      </c>
      <c r="S34" s="154">
        <v>50700.4</v>
      </c>
      <c r="T34" s="166">
        <f>SUM(O34:S34)</f>
        <v>250852.56</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44190.832727272733</v>
      </c>
      <c r="P35" s="155">
        <v>44190.832727272733</v>
      </c>
      <c r="Q35" s="155">
        <v>44190.832727272733</v>
      </c>
      <c r="R35" s="155">
        <v>44190.832727272733</v>
      </c>
      <c r="S35" s="155">
        <v>44190.832727272733</v>
      </c>
      <c r="T35" s="166">
        <f>SUM(O35:S35)</f>
        <v>220954.16363636366</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172204.57181818181</v>
      </c>
      <c r="P36" s="155">
        <f>163569.831818182+14409</f>
        <v>177978.83181818199</v>
      </c>
      <c r="Q36" s="155">
        <f>102377.99+14409</f>
        <v>116786.99</v>
      </c>
      <c r="R36" s="155">
        <v>190879.32</v>
      </c>
      <c r="S36" s="155">
        <v>138008.79181818184</v>
      </c>
      <c r="T36" s="166">
        <f>SUM(O36:S36)</f>
        <v>795858.50545454572</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186722.44</v>
      </c>
      <c r="P38" s="153">
        <f t="shared" si="10"/>
        <v>186722.44</v>
      </c>
      <c r="Q38" s="153">
        <f t="shared" si="10"/>
        <v>186722.44</v>
      </c>
      <c r="R38" s="153">
        <f t="shared" si="10"/>
        <v>186722.44</v>
      </c>
      <c r="S38" s="153">
        <f t="shared" si="10"/>
        <v>186722.44</v>
      </c>
      <c r="T38" s="153">
        <f t="shared" si="10"/>
        <v>933612.2</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v>22142.35</v>
      </c>
      <c r="P40" s="155">
        <v>22142.35</v>
      </c>
      <c r="Q40" s="155">
        <v>22142.35</v>
      </c>
      <c r="R40" s="155">
        <v>22142.35</v>
      </c>
      <c r="S40" s="155">
        <v>22142.35</v>
      </c>
      <c r="T40" s="166">
        <f>SUM(O40:S40)</f>
        <v>110711.75</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v>164580.09</v>
      </c>
      <c r="P41" s="155">
        <v>164580.09</v>
      </c>
      <c r="Q41" s="155">
        <v>164580.09</v>
      </c>
      <c r="R41" s="155">
        <v>164580.09</v>
      </c>
      <c r="S41" s="155">
        <v>164580.09</v>
      </c>
      <c r="T41" s="166">
        <f>SUM(O41:S41)</f>
        <v>822900.45</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Attention aux différences !</v>
      </c>
      <c r="C58" s="302"/>
      <c r="D58" s="302"/>
      <c r="E58" s="302"/>
      <c r="F58" s="302"/>
      <c r="G58" s="302"/>
      <c r="H58" s="302"/>
      <c r="I58" s="302"/>
      <c r="J58" s="302"/>
      <c r="K58" s="302"/>
      <c r="L58" s="302"/>
      <c r="M58" s="302"/>
      <c r="N58" s="303"/>
      <c r="O58" s="179">
        <f>O26-SUM(O59:O100)</f>
        <v>475054.86454545456</v>
      </c>
      <c r="P58" s="165">
        <f t="shared" ref="P58:T58" si="12">P26-SUM(P59:P100)</f>
        <v>462767.78454545472</v>
      </c>
      <c r="Q58" s="165">
        <f t="shared" si="12"/>
        <v>392215.94272727275</v>
      </c>
      <c r="R58" s="165">
        <f t="shared" si="12"/>
        <v>486772.99272727274</v>
      </c>
      <c r="S58" s="165">
        <f t="shared" si="12"/>
        <v>423262.4645454546</v>
      </c>
      <c r="T58" s="171">
        <f t="shared" si="12"/>
        <v>2240074.0490909093</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20" activePane="bottomRight" state="frozen"/>
      <selection pane="topRight" activeCell="O59" sqref="O59"/>
      <selection pane="bottomLeft" activeCell="O59" sqref="O59"/>
      <selection pane="bottomRight" activeCell="Q65" sqref="Q65"/>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8</v>
      </c>
      <c r="B1" s="2" t="str">
        <f>IF(lang=1,labels!E75,IF(lang=2,labels!F75,"set lang"))</f>
        <v>Titre:</v>
      </c>
      <c r="C1" s="2"/>
      <c r="D1" s="2"/>
      <c r="E1" s="2"/>
      <c r="F1" s="2"/>
      <c r="G1" s="2"/>
      <c r="H1" s="2"/>
      <c r="I1" s="2"/>
      <c r="J1" s="2"/>
      <c r="K1" s="2"/>
      <c r="L1" s="2"/>
      <c r="M1" s="2"/>
      <c r="N1" s="2"/>
      <c r="O1" s="2" t="str">
        <f ca="1">VLOOKUP($A$1*1,Prg!$B$7:$H$31,3,FALSE)</f>
        <v>Improved social protection and labour rights for women workers in ASEAN’s agri-food sector</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t="str">
        <f ca="1">VLOOKUP($A$1*1,Prg!$B$7:$H$31,4,FALSE)</f>
        <v>R - ASIA - FAR EAST AREA</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t="str">
        <f ca="1">VLOOKUP($A$1*1,Prg!$B$7:$H$31,5,FALSE)</f>
        <v>themat</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BE-BCE_KBO-0408643875-Prog2022_commun_ASE</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1170229.18</v>
      </c>
      <c r="P8" s="153">
        <f t="shared" si="0"/>
        <v>1297815.24</v>
      </c>
      <c r="Q8" s="153">
        <f t="shared" si="0"/>
        <v>1584212</v>
      </c>
      <c r="R8" s="153">
        <f t="shared" si="0"/>
        <v>1568887.97</v>
      </c>
      <c r="S8" s="153">
        <f t="shared" si="0"/>
        <v>1558674.48</v>
      </c>
      <c r="T8" s="164">
        <f t="shared" si="0"/>
        <v>7179818.8700000001</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v>55438</v>
      </c>
      <c r="P9" s="155">
        <v>18992</v>
      </c>
      <c r="Q9" s="155">
        <v>3845</v>
      </c>
      <c r="R9" s="155">
        <v>6180</v>
      </c>
      <c r="S9" s="155">
        <v>0</v>
      </c>
      <c r="T9" s="166">
        <f>SUM(O9:S9)</f>
        <v>84455</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v>773229.7</v>
      </c>
      <c r="P10" s="155">
        <v>927523.76</v>
      </c>
      <c r="Q10" s="155">
        <v>1209696</v>
      </c>
      <c r="R10" s="155">
        <v>1187760.49</v>
      </c>
      <c r="S10" s="155">
        <v>1189033</v>
      </c>
      <c r="T10" s="166">
        <f>SUM(O10:S10)</f>
        <v>5287242.95</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v>341561.48</v>
      </c>
      <c r="P11" s="155">
        <v>351299.48</v>
      </c>
      <c r="Q11" s="155">
        <v>370671</v>
      </c>
      <c r="R11" s="155">
        <v>374947.48</v>
      </c>
      <c r="S11" s="155">
        <v>369641.48</v>
      </c>
      <c r="T11" s="166">
        <f>SUM(O11:S11)</f>
        <v>1808120.92</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182208</v>
      </c>
      <c r="P12" s="153">
        <f t="shared" si="1"/>
        <v>174294.66</v>
      </c>
      <c r="Q12" s="153">
        <f t="shared" si="1"/>
        <v>205147.66</v>
      </c>
      <c r="R12" s="153">
        <f t="shared" si="1"/>
        <v>171237</v>
      </c>
      <c r="S12" s="153">
        <f t="shared" si="1"/>
        <v>136562.45000000001</v>
      </c>
      <c r="T12" s="164">
        <f t="shared" si="1"/>
        <v>869449.77</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v>12650</v>
      </c>
      <c r="P13" s="155">
        <v>0</v>
      </c>
      <c r="Q13" s="155">
        <v>1600</v>
      </c>
      <c r="R13" s="155">
        <v>2000</v>
      </c>
      <c r="S13" s="155">
        <v>2000</v>
      </c>
      <c r="T13" s="166">
        <f>SUM(O13:S13)</f>
        <v>18250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v>134158</v>
      </c>
      <c r="P14" s="155">
        <f>133920+2974.66</f>
        <v>136894.66</v>
      </c>
      <c r="Q14" s="155">
        <f>159673+2974.66</f>
        <v>162647.66</v>
      </c>
      <c r="R14" s="155">
        <v>128237</v>
      </c>
      <c r="S14" s="155">
        <v>94162.45</v>
      </c>
      <c r="T14" s="166">
        <f>SUM(O14:S14)</f>
        <v>656099.77</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v>35400</v>
      </c>
      <c r="P15" s="155">
        <v>37400</v>
      </c>
      <c r="Q15" s="155">
        <v>40900</v>
      </c>
      <c r="R15" s="155">
        <v>41000</v>
      </c>
      <c r="S15" s="155">
        <v>40400</v>
      </c>
      <c r="T15" s="166">
        <f>SUM(O15:S15)</f>
        <v>195100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605642.69999999995</v>
      </c>
      <c r="P16" s="153">
        <f t="shared" si="2"/>
        <v>689009.87</v>
      </c>
      <c r="Q16" s="153">
        <f t="shared" si="2"/>
        <v>683135.7699999999</v>
      </c>
      <c r="R16" s="153">
        <f t="shared" si="2"/>
        <v>667105.49</v>
      </c>
      <c r="S16" s="153">
        <f t="shared" si="2"/>
        <v>761055.86999999988</v>
      </c>
      <c r="T16" s="164">
        <f t="shared" si="2"/>
        <v>3405949.7</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v>34700</v>
      </c>
      <c r="P17" s="155">
        <v>1000</v>
      </c>
      <c r="Q17" s="155">
        <v>1000</v>
      </c>
      <c r="R17" s="155">
        <v>1000</v>
      </c>
      <c r="S17" s="155">
        <v>1000</v>
      </c>
      <c r="T17" s="166">
        <f>SUM(O17:S17)</f>
        <v>38700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v>129505.05</v>
      </c>
      <c r="P18" s="155">
        <v>182695.25</v>
      </c>
      <c r="Q18" s="155">
        <f>154402.11+19898.65</f>
        <v>174300.75999999998</v>
      </c>
      <c r="R18" s="155">
        <v>151717.01999999999</v>
      </c>
      <c r="S18" s="155">
        <v>155054.43</v>
      </c>
      <c r="T18" s="166">
        <f>SUM(O18:S18)</f>
        <v>793272.51</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v>441437.65</v>
      </c>
      <c r="P19" s="155">
        <f>495157.04+10157.58</f>
        <v>505314.62</v>
      </c>
      <c r="Q19" s="155">
        <f>495399.41+12435.6</f>
        <v>507835.00999999995</v>
      </c>
      <c r="R19" s="155">
        <v>514388.47</v>
      </c>
      <c r="S19" s="155">
        <v>605001.43999999994</v>
      </c>
      <c r="T19" s="166">
        <f>SUM(O19:S19)</f>
        <v>2573977.19</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12000</v>
      </c>
      <c r="P20" s="153">
        <f t="shared" si="3"/>
        <v>12000</v>
      </c>
      <c r="Q20" s="153">
        <f t="shared" si="3"/>
        <v>12000</v>
      </c>
      <c r="R20" s="153">
        <f t="shared" si="3"/>
        <v>12000</v>
      </c>
      <c r="S20" s="153">
        <f t="shared" si="3"/>
        <v>12000</v>
      </c>
      <c r="T20" s="164">
        <f t="shared" si="3"/>
        <v>60000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v>0</v>
      </c>
      <c r="P21" s="155">
        <v>0</v>
      </c>
      <c r="Q21" s="155">
        <v>0</v>
      </c>
      <c r="R21" s="155">
        <v>0</v>
      </c>
      <c r="S21" s="155">
        <v>0</v>
      </c>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v>12000</v>
      </c>
      <c r="P22" s="155">
        <v>12000</v>
      </c>
      <c r="Q22" s="155">
        <v>12000</v>
      </c>
      <c r="R22" s="155">
        <v>12000</v>
      </c>
      <c r="S22" s="155">
        <v>12000</v>
      </c>
      <c r="T22" s="166">
        <f>SUM(O22:S22)</f>
        <v>60000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v>0</v>
      </c>
      <c r="P23" s="156">
        <v>0</v>
      </c>
      <c r="Q23" s="156">
        <v>0</v>
      </c>
      <c r="R23" s="156">
        <v>0</v>
      </c>
      <c r="S23" s="156">
        <v>0</v>
      </c>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1970079.88</v>
      </c>
      <c r="P26" s="153">
        <f t="shared" ref="P26:S26" si="4">P28+P33+P38</f>
        <v>2173119.77</v>
      </c>
      <c r="Q26" s="153">
        <f t="shared" si="4"/>
        <v>2484496.4500000002</v>
      </c>
      <c r="R26" s="153">
        <f t="shared" si="4"/>
        <v>2419230.46</v>
      </c>
      <c r="S26" s="153">
        <f t="shared" si="4"/>
        <v>2468292.7999999998</v>
      </c>
      <c r="T26" s="164">
        <f>SUM(O26:S26)</f>
        <v>11515219.359999999</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102788</v>
      </c>
      <c r="P28" s="153">
        <f t="shared" si="6"/>
        <v>19992</v>
      </c>
      <c r="Q28" s="153">
        <f t="shared" si="6"/>
        <v>6445</v>
      </c>
      <c r="R28" s="153">
        <f t="shared" si="6"/>
        <v>9180</v>
      </c>
      <c r="S28" s="153">
        <f t="shared" si="6"/>
        <v>3000</v>
      </c>
      <c r="T28" s="164">
        <f t="shared" si="6"/>
        <v>141405</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v>1305</v>
      </c>
      <c r="P29" s="155">
        <v>3841</v>
      </c>
      <c r="Q29" s="155">
        <v>0</v>
      </c>
      <c r="R29" s="155">
        <v>0</v>
      </c>
      <c r="S29" s="155">
        <v>0</v>
      </c>
      <c r="T29" s="166">
        <f>SUM(O29:S29)</f>
        <v>5146</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v>100720</v>
      </c>
      <c r="P30" s="155">
        <v>15591</v>
      </c>
      <c r="Q30" s="155">
        <v>6445</v>
      </c>
      <c r="R30" s="155">
        <v>9180</v>
      </c>
      <c r="S30" s="155">
        <v>3000</v>
      </c>
      <c r="T30" s="166">
        <f>SUM(O30:S30)</f>
        <v>134936</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v>763</v>
      </c>
      <c r="P31" s="155">
        <v>560</v>
      </c>
      <c r="Q31" s="155">
        <v>0</v>
      </c>
      <c r="R31" s="155">
        <v>0</v>
      </c>
      <c r="S31" s="155">
        <v>0</v>
      </c>
      <c r="T31" s="166">
        <f>SUM(O31:S31)</f>
        <v>1323</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0.34000000008381903</v>
      </c>
      <c r="Q32" s="167">
        <f t="shared" si="7"/>
        <v>-0.11999999987892807</v>
      </c>
      <c r="R32" s="167">
        <f t="shared" si="7"/>
        <v>0</v>
      </c>
      <c r="S32" s="167">
        <f t="shared" si="7"/>
        <v>0</v>
      </c>
      <c r="T32" s="166">
        <f t="shared" si="7"/>
        <v>0.21999999973922968</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1048892.75</v>
      </c>
      <c r="P33" s="153">
        <f t="shared" si="8"/>
        <v>1259114.01</v>
      </c>
      <c r="Q33" s="153">
        <f t="shared" si="8"/>
        <v>1558644.3</v>
      </c>
      <c r="R33" s="153">
        <f t="shared" si="8"/>
        <v>1479714.51</v>
      </c>
      <c r="S33" s="153">
        <f t="shared" si="8"/>
        <v>1450249.88</v>
      </c>
      <c r="T33" s="164">
        <f t="shared" si="8"/>
        <v>6796615.4500000002</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v>32980</v>
      </c>
      <c r="P34" s="155">
        <f>37980+3000</f>
        <v>40980</v>
      </c>
      <c r="Q34" s="155">
        <f>39080+3000</f>
        <v>42080</v>
      </c>
      <c r="R34" s="155">
        <v>37580</v>
      </c>
      <c r="S34" s="155">
        <v>37080</v>
      </c>
      <c r="T34" s="166">
        <f>SUM(O34:S34)</f>
        <v>190700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v>114657.1</v>
      </c>
      <c r="P35" s="155">
        <v>127676</v>
      </c>
      <c r="Q35" s="155">
        <v>134874.29999999999</v>
      </c>
      <c r="R35" s="155">
        <v>136604.51</v>
      </c>
      <c r="S35" s="155">
        <v>137510.93</v>
      </c>
      <c r="T35" s="166">
        <f>SUM(O35:S35)</f>
        <v>651322.84000000008</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v>901255.65</v>
      </c>
      <c r="P36" s="155">
        <v>1090458.01</v>
      </c>
      <c r="Q36" s="155">
        <v>1381690</v>
      </c>
      <c r="R36" s="155">
        <v>1305530</v>
      </c>
      <c r="S36" s="155">
        <v>1275658.95</v>
      </c>
      <c r="T36" s="166">
        <f>SUM(O36:S36)</f>
        <v>5954592.6100000003</v>
      </c>
      <c r="U36" s="5"/>
    </row>
    <row r="37" spans="1:21" ht="15.75" x14ac:dyDescent="0.25">
      <c r="A37" s="4"/>
      <c r="B37" s="301" t="str">
        <f>IF(OR(ABS(O37)&gt;1,ABS(P37)&gt;1,ABS(Q37)&gt;1,ABS(R37)&gt;1,ABS(S37)&gt;1,ABS(T37)&gt;1),"Attention aux différences !","")</f>
        <v>Attention aux différences !</v>
      </c>
      <c r="C37" s="302"/>
      <c r="D37" s="302"/>
      <c r="E37" s="302"/>
      <c r="F37" s="302"/>
      <c r="G37" s="302"/>
      <c r="H37" s="302"/>
      <c r="I37" s="302"/>
      <c r="J37" s="302"/>
      <c r="K37" s="302"/>
      <c r="L37" s="302"/>
      <c r="M37" s="302"/>
      <c r="N37" s="303"/>
      <c r="O37" s="167">
        <f>O38-(O11+O15+O19+O23)</f>
        <v>0</v>
      </c>
      <c r="P37" s="167">
        <f t="shared" ref="P37:T37" si="9">P38-(P11+P15+P19+P23)</f>
        <v>-0.33999999996740371</v>
      </c>
      <c r="Q37" s="167">
        <f t="shared" si="9"/>
        <v>1.1400000000139698</v>
      </c>
      <c r="R37" s="167">
        <f t="shared" si="9"/>
        <v>0</v>
      </c>
      <c r="S37" s="167">
        <f t="shared" si="9"/>
        <v>0</v>
      </c>
      <c r="T37" s="166">
        <f t="shared" si="9"/>
        <v>0.80000000074505806</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818399.13</v>
      </c>
      <c r="P38" s="153">
        <f t="shared" si="10"/>
        <v>894013.76</v>
      </c>
      <c r="Q38" s="153">
        <f t="shared" si="10"/>
        <v>919407.15</v>
      </c>
      <c r="R38" s="153">
        <f t="shared" si="10"/>
        <v>930335.95</v>
      </c>
      <c r="S38" s="153">
        <f t="shared" si="10"/>
        <v>1015042.92</v>
      </c>
      <c r="T38" s="153">
        <f t="shared" si="10"/>
        <v>4577198.91</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v>0</v>
      </c>
      <c r="P39" s="155">
        <v>0</v>
      </c>
      <c r="Q39" s="155">
        <v>0</v>
      </c>
      <c r="R39" s="155">
        <v>0</v>
      </c>
      <c r="S39" s="155">
        <v>0</v>
      </c>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v>18408</v>
      </c>
      <c r="P40" s="155">
        <v>19088.400000000001</v>
      </c>
      <c r="Q40" s="155">
        <v>19802.82</v>
      </c>
      <c r="R40" s="155">
        <v>20552.96</v>
      </c>
      <c r="S40" s="155">
        <v>21340.61</v>
      </c>
      <c r="T40" s="166">
        <f>SUM(O40:S40)</f>
        <v>99192.79</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v>798174.73</v>
      </c>
      <c r="P41" s="155">
        <v>872858.96</v>
      </c>
      <c r="Q41" s="155">
        <v>897487.93</v>
      </c>
      <c r="R41" s="155">
        <v>907666.59</v>
      </c>
      <c r="S41" s="155">
        <v>991585.91</v>
      </c>
      <c r="T41" s="166">
        <f>SUM(O41:S41)</f>
        <v>4467774.12</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v>1816.4</v>
      </c>
      <c r="P42" s="156">
        <v>2066.4</v>
      </c>
      <c r="Q42" s="156">
        <v>2116.4</v>
      </c>
      <c r="R42" s="156">
        <v>2116.4</v>
      </c>
      <c r="S42" s="156">
        <v>2116.4</v>
      </c>
      <c r="T42" s="166">
        <f>SUM(O42:S42)</f>
        <v>10232</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1970079.88</v>
      </c>
      <c r="P57" s="153">
        <f t="shared" ref="P57:T57" si="11">SUM(P59:P89)</f>
        <v>2173119.2800000003</v>
      </c>
      <c r="Q57" s="153">
        <f t="shared" si="11"/>
        <v>2484496.61</v>
      </c>
      <c r="R57" s="153">
        <f t="shared" si="11"/>
        <v>2419230.46</v>
      </c>
      <c r="S57" s="153">
        <f t="shared" si="11"/>
        <v>2468292.7999999998</v>
      </c>
      <c r="T57" s="164">
        <f t="shared" si="11"/>
        <v>11515219.029999999</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0.48999999975785613</v>
      </c>
      <c r="Q58" s="165">
        <f t="shared" si="12"/>
        <v>-0.15999999968335032</v>
      </c>
      <c r="R58" s="165">
        <f t="shared" si="12"/>
        <v>0</v>
      </c>
      <c r="S58" s="165">
        <f t="shared" si="12"/>
        <v>0</v>
      </c>
      <c r="T58" s="171">
        <f t="shared" si="12"/>
        <v>0.33000000007450581</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t="s">
        <v>901</v>
      </c>
      <c r="G60" s="322"/>
      <c r="H60" s="322"/>
      <c r="I60" s="322"/>
      <c r="J60" s="322"/>
      <c r="K60" s="322"/>
      <c r="L60" s="322"/>
      <c r="M60" s="322"/>
      <c r="N60" s="323"/>
      <c r="O60" s="155">
        <v>557717</v>
      </c>
      <c r="P60" s="155">
        <f>684051+49330.76</f>
        <v>733381.76</v>
      </c>
      <c r="Q60" s="155">
        <f>714485+49330.76</f>
        <v>763815.76</v>
      </c>
      <c r="R60" s="155">
        <v>758151</v>
      </c>
      <c r="S60" s="155">
        <v>769106</v>
      </c>
      <c r="T60" s="174">
        <f t="shared" ref="T60:T100" si="13">SUM(O60:S60)</f>
        <v>3582171.52</v>
      </c>
      <c r="U60" s="5"/>
    </row>
    <row r="61" spans="1:25" x14ac:dyDescent="0.25">
      <c r="A61" s="4"/>
      <c r="B61" s="224" t="str">
        <f>IF(lang=1,labels!E$174,IF(lang=2,labels!F$174,"set lang"))&amp;" "&amp;ROW()-59</f>
        <v>Pays 2</v>
      </c>
      <c r="C61" s="38"/>
      <c r="D61" s="38"/>
      <c r="E61" s="38" t="s">
        <v>692</v>
      </c>
      <c r="F61" s="321" t="s">
        <v>902</v>
      </c>
      <c r="G61" s="322"/>
      <c r="H61" s="322"/>
      <c r="I61" s="322"/>
      <c r="J61" s="322"/>
      <c r="K61" s="322"/>
      <c r="L61" s="322"/>
      <c r="M61" s="322"/>
      <c r="N61" s="323"/>
      <c r="O61" s="182">
        <v>537707.88</v>
      </c>
      <c r="P61" s="182">
        <f>458421.52+35236.26</f>
        <v>493657.78</v>
      </c>
      <c r="Q61" s="182">
        <f>456559.19+35236.26</f>
        <v>491795.45</v>
      </c>
      <c r="R61" s="182">
        <v>488137</v>
      </c>
      <c r="S61" s="182">
        <v>547393.80000000005</v>
      </c>
      <c r="T61" s="174">
        <f t="shared" si="13"/>
        <v>2558691.91</v>
      </c>
      <c r="U61" s="5"/>
    </row>
    <row r="62" spans="1:25" x14ac:dyDescent="0.25">
      <c r="A62" s="4"/>
      <c r="B62" s="224" t="str">
        <f>IF(lang=1,labels!E$174,IF(lang=2,labels!F$174,"set lang"))&amp;" "&amp;ROW()-59</f>
        <v>Pays 3</v>
      </c>
      <c r="C62" s="38"/>
      <c r="D62" s="38"/>
      <c r="E62" s="38" t="s">
        <v>692</v>
      </c>
      <c r="F62" s="321" t="s">
        <v>903</v>
      </c>
      <c r="G62" s="322"/>
      <c r="H62" s="322"/>
      <c r="I62" s="322"/>
      <c r="J62" s="322"/>
      <c r="K62" s="322"/>
      <c r="L62" s="322"/>
      <c r="M62" s="322"/>
      <c r="N62" s="323"/>
      <c r="O62" s="155">
        <v>608461</v>
      </c>
      <c r="P62" s="155">
        <v>687699</v>
      </c>
      <c r="Q62" s="155">
        <v>918200</v>
      </c>
      <c r="R62" s="155">
        <v>828351</v>
      </c>
      <c r="S62" s="155">
        <v>789149</v>
      </c>
      <c r="T62" s="174">
        <f t="shared" si="13"/>
        <v>3831860</v>
      </c>
      <c r="U62" s="5"/>
    </row>
    <row r="63" spans="1:25" x14ac:dyDescent="0.25">
      <c r="A63" s="4"/>
      <c r="B63" s="224" t="str">
        <f>IF(lang=1,labels!E$174,IF(lang=2,labels!F$174,"set lang"))&amp;" "&amp;ROW()-59</f>
        <v>Pays 4</v>
      </c>
      <c r="C63" s="38"/>
      <c r="D63" s="38"/>
      <c r="E63" s="38" t="s">
        <v>692</v>
      </c>
      <c r="F63" s="321" t="s">
        <v>904</v>
      </c>
      <c r="G63" s="322"/>
      <c r="H63" s="322"/>
      <c r="I63" s="322"/>
      <c r="J63" s="322"/>
      <c r="K63" s="322"/>
      <c r="L63" s="322"/>
      <c r="M63" s="322"/>
      <c r="N63" s="323"/>
      <c r="O63" s="182">
        <v>266194</v>
      </c>
      <c r="P63" s="182">
        <f>237133+21247.74</f>
        <v>258380.74</v>
      </c>
      <c r="Q63" s="182">
        <f>289438+21247.4</f>
        <v>310685.40000000002</v>
      </c>
      <c r="R63" s="182">
        <v>344591.46</v>
      </c>
      <c r="S63" s="182">
        <v>362644</v>
      </c>
      <c r="T63" s="178">
        <f t="shared" si="13"/>
        <v>1542495.6</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85546875" defaultRowHeight="15" x14ac:dyDescent="0.25"/>
  <cols>
    <col min="1" max="1" width="12.42578125" customWidth="1"/>
    <col min="2" max="2" width="17" hidden="1" customWidth="1"/>
    <col min="3" max="3" width="24" customWidth="1"/>
    <col min="4" max="4" width="22.140625" hidden="1" customWidth="1"/>
    <col min="5" max="5" width="39" customWidth="1"/>
    <col min="6" max="6" width="52.140625" customWidth="1"/>
    <col min="7" max="7" width="15.7109375" customWidth="1"/>
    <col min="8" max="8" width="13.42578125" customWidth="1"/>
    <col min="9" max="9" width="27.85546875" customWidth="1"/>
    <col min="15" max="15" width="32.85546875" customWidth="1"/>
    <col min="16" max="16" width="38.28515625" customWidth="1"/>
    <col min="17" max="17" width="41.7109375" customWidth="1"/>
  </cols>
  <sheetData>
    <row r="1" spans="1:18" x14ac:dyDescent="0.25">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25">
      <c r="A2" t="s">
        <v>253</v>
      </c>
      <c r="B2" t="e">
        <f ca="1">_xlfn.FORMULATEXT(D2)</f>
        <v>#N/A</v>
      </c>
      <c r="C2" s="86" t="s">
        <v>254</v>
      </c>
      <c r="D2" s="87" t="s">
        <v>31</v>
      </c>
      <c r="E2" s="88" t="s">
        <v>31</v>
      </c>
      <c r="F2" s="88" t="s">
        <v>32</v>
      </c>
      <c r="G2" s="88" t="str">
        <f>CHAR(34)&amp;E2&amp;CHAR(34)</f>
        <v>"VISUALISATION SYNTHÉTIQUE DU BUDGET DU PROGRAMME"</v>
      </c>
      <c r="H2" s="88"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25">
      <c r="A3" t="s">
        <v>253</v>
      </c>
      <c r="B3" t="e">
        <f t="shared" ref="B3:B61" ca="1" si="1">_xlfn.FORMULATEXT(D3)</f>
        <v>#N/A</v>
      </c>
      <c r="C3" s="86" t="s">
        <v>257</v>
      </c>
      <c r="D3" s="87" t="s">
        <v>258</v>
      </c>
      <c r="E3" s="88" t="s">
        <v>258</v>
      </c>
      <c r="F3" s="118" t="s">
        <v>259</v>
      </c>
      <c r="G3" s="8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88"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25">
      <c r="A4" t="s">
        <v>253</v>
      </c>
      <c r="B4" t="e">
        <f t="shared" ca="1" si="1"/>
        <v>#N/A</v>
      </c>
      <c r="C4" s="86" t="s">
        <v>262</v>
      </c>
      <c r="D4" s="87" t="s">
        <v>35</v>
      </c>
      <c r="E4" s="88" t="s">
        <v>35</v>
      </c>
      <c r="F4" s="88" t="s">
        <v>36</v>
      </c>
      <c r="G4" s="88" t="str">
        <f t="shared" si="2"/>
        <v>"C.O. - COÛTS OPÉRATIONNELS"</v>
      </c>
      <c r="H4" s="88"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25">
      <c r="A5" t="s">
        <v>253</v>
      </c>
      <c r="B5" t="e">
        <f t="shared" ca="1" si="1"/>
        <v>#N/A</v>
      </c>
      <c r="C5" s="86" t="s">
        <v>265</v>
      </c>
      <c r="D5" s="87" t="s">
        <v>42</v>
      </c>
      <c r="E5" s="88" t="s">
        <v>42</v>
      </c>
      <c r="F5" s="88" t="s">
        <v>43</v>
      </c>
      <c r="G5" s="88" t="str">
        <f t="shared" si="2"/>
        <v>"RUBRIQUE GÉNÉRALE"</v>
      </c>
      <c r="H5" s="88"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25">
      <c r="A6" t="s">
        <v>253</v>
      </c>
      <c r="B6" t="e">
        <f t="shared" ca="1" si="1"/>
        <v>#N/A</v>
      </c>
      <c r="C6" s="86" t="s">
        <v>268</v>
      </c>
      <c r="D6" s="87" t="s">
        <v>50</v>
      </c>
      <c r="E6" s="88" t="s">
        <v>50</v>
      </c>
      <c r="F6" s="88" t="s">
        <v>51</v>
      </c>
      <c r="G6" s="88" t="str">
        <f t="shared" si="2"/>
        <v>"1. Investissements"</v>
      </c>
      <c r="H6" s="88"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25">
      <c r="A7" t="s">
        <v>253</v>
      </c>
      <c r="B7" t="e">
        <f t="shared" ca="1" si="1"/>
        <v>#N/A</v>
      </c>
      <c r="C7" s="86" t="s">
        <v>271</v>
      </c>
      <c r="D7" s="87" t="s">
        <v>52</v>
      </c>
      <c r="E7" s="88" t="s">
        <v>52</v>
      </c>
      <c r="F7" s="88" t="s">
        <v>53</v>
      </c>
      <c r="G7" s="88" t="str">
        <f t="shared" si="2"/>
        <v>"2. Fonctionnement"</v>
      </c>
      <c r="H7" s="88"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25">
      <c r="A8" t="s">
        <v>253</v>
      </c>
      <c r="B8" t="e">
        <f t="shared" ca="1" si="1"/>
        <v>#N/A</v>
      </c>
      <c r="C8" s="86" t="s">
        <v>274</v>
      </c>
      <c r="D8" s="87" t="s">
        <v>54</v>
      </c>
      <c r="E8" s="88" t="s">
        <v>54</v>
      </c>
      <c r="F8" s="88" t="s">
        <v>55</v>
      </c>
      <c r="G8" s="88" t="str">
        <f t="shared" si="2"/>
        <v>"3. Personnel"</v>
      </c>
      <c r="H8" s="88"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25">
      <c r="A9" t="s">
        <v>253</v>
      </c>
      <c r="B9" t="e">
        <f t="shared" ca="1" si="1"/>
        <v>#N/A</v>
      </c>
      <c r="C9" s="86" t="s">
        <v>277</v>
      </c>
      <c r="D9" s="87" t="s">
        <v>45</v>
      </c>
      <c r="E9" s="88" t="s">
        <v>45</v>
      </c>
      <c r="F9" s="88" t="s">
        <v>46</v>
      </c>
      <c r="G9" s="88" t="str">
        <f t="shared" si="2"/>
        <v>"CSC"</v>
      </c>
      <c r="H9" s="88"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25">
      <c r="A10" t="s">
        <v>253</v>
      </c>
      <c r="B10" t="e">
        <f t="shared" ca="1" si="1"/>
        <v>#N/A</v>
      </c>
      <c r="C10" s="86" t="s">
        <v>280</v>
      </c>
      <c r="D10" s="87" t="s">
        <v>281</v>
      </c>
      <c r="E10" s="88" t="s">
        <v>281</v>
      </c>
      <c r="F10" s="88" t="s">
        <v>63</v>
      </c>
      <c r="G10" s="88" t="str">
        <f t="shared" si="2"/>
        <v>"  HORS-
CSC"</v>
      </c>
      <c r="H10" s="88"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25">
      <c r="A11" t="s">
        <v>253</v>
      </c>
      <c r="B11" t="e">
        <f t="shared" ca="1" si="1"/>
        <v>#N/A</v>
      </c>
      <c r="C11" s="86" t="s">
        <v>284</v>
      </c>
      <c r="D11" s="87" t="s">
        <v>50</v>
      </c>
      <c r="E11" s="88" t="s">
        <v>50</v>
      </c>
      <c r="F11" s="88" t="s">
        <v>51</v>
      </c>
      <c r="G11" s="88" t="str">
        <f t="shared" si="2"/>
        <v>"1. Investissements"</v>
      </c>
      <c r="H11" s="88"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25">
      <c r="A12" t="s">
        <v>253</v>
      </c>
      <c r="B12" t="e">
        <f t="shared" ca="1" si="1"/>
        <v>#N/A</v>
      </c>
      <c r="C12" s="86" t="s">
        <v>286</v>
      </c>
      <c r="D12" s="87" t="s">
        <v>52</v>
      </c>
      <c r="E12" s="88" t="s">
        <v>52</v>
      </c>
      <c r="F12" s="88" t="s">
        <v>53</v>
      </c>
      <c r="G12" s="88" t="str">
        <f t="shared" si="2"/>
        <v>"2. Fonctionnement"</v>
      </c>
      <c r="H12" s="88"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25">
      <c r="A13" t="s">
        <v>253</v>
      </c>
      <c r="B13" t="e">
        <f t="shared" ca="1" si="1"/>
        <v>#N/A</v>
      </c>
      <c r="C13" s="86" t="s">
        <v>288</v>
      </c>
      <c r="D13" s="87" t="s">
        <v>54</v>
      </c>
      <c r="E13" s="88" t="s">
        <v>54</v>
      </c>
      <c r="F13" s="88" t="s">
        <v>55</v>
      </c>
      <c r="G13" s="88" t="str">
        <f t="shared" si="2"/>
        <v>"3. Personnel"</v>
      </c>
      <c r="H13" s="88"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25">
      <c r="A14" t="s">
        <v>253</v>
      </c>
      <c r="B14" t="e">
        <f t="shared" ca="1" si="1"/>
        <v>#N/A</v>
      </c>
      <c r="C14" s="86" t="s">
        <v>290</v>
      </c>
      <c r="D14" s="87" t="s">
        <v>60</v>
      </c>
      <c r="E14" s="88" t="s">
        <v>60</v>
      </c>
      <c r="F14" s="88" t="s">
        <v>291</v>
      </c>
      <c r="G14" s="88" t="str">
        <f t="shared" si="2"/>
        <v>"TOTAL VOLET CSC"</v>
      </c>
      <c r="H14" s="88"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25">
      <c r="A15" t="s">
        <v>253</v>
      </c>
      <c r="B15" t="e">
        <f t="shared" ca="1" si="1"/>
        <v>#N/A</v>
      </c>
      <c r="C15" s="86" t="s">
        <v>294</v>
      </c>
      <c r="D15" s="87" t="s">
        <v>66</v>
      </c>
      <c r="E15" s="88" t="s">
        <v>66</v>
      </c>
      <c r="F15" s="88" t="s">
        <v>295</v>
      </c>
      <c r="G15" s="88" t="str">
        <f t="shared" si="2"/>
        <v>"TOTAL VOLET HORS-CSC"</v>
      </c>
      <c r="H15" s="88"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25">
      <c r="A16" t="s">
        <v>253</v>
      </c>
      <c r="B16" t="e">
        <f t="shared" ca="1" si="1"/>
        <v>#N/A</v>
      </c>
      <c r="C16" s="86" t="s">
        <v>298</v>
      </c>
      <c r="D16" s="87" t="s">
        <v>6</v>
      </c>
      <c r="E16" s="88" t="s">
        <v>6</v>
      </c>
      <c r="F16" s="88" t="s">
        <v>7</v>
      </c>
      <c r="G16" s="88" t="str">
        <f t="shared" si="2"/>
        <v>"GRAND TOTAL"</v>
      </c>
      <c r="H16" s="88"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25">
      <c r="A17" t="s">
        <v>253</v>
      </c>
      <c r="B17" t="e">
        <f t="shared" ca="1" si="1"/>
        <v>#N/A</v>
      </c>
      <c r="C17" s="86" t="s">
        <v>301</v>
      </c>
      <c r="D17" s="87" t="s">
        <v>68</v>
      </c>
      <c r="E17" s="88" t="s">
        <v>68</v>
      </c>
      <c r="F17" s="88" t="s">
        <v>69</v>
      </c>
      <c r="G17" s="88" t="str">
        <f t="shared" si="2"/>
        <v>"C.O. - TOTAL COÛTS OPÉRATIONNELS"</v>
      </c>
      <c r="H17" s="88"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25">
      <c r="A18" t="s">
        <v>253</v>
      </c>
      <c r="B18" t="e">
        <f t="shared" ca="1" si="1"/>
        <v>#N/A</v>
      </c>
      <c r="C18" s="86" t="s">
        <v>304</v>
      </c>
      <c r="D18" s="87" t="s">
        <v>305</v>
      </c>
      <c r="E18" s="88" t="s">
        <v>305</v>
      </c>
      <c r="F18" s="88" t="s">
        <v>306</v>
      </c>
      <c r="G18" s="88" t="str">
        <f t="shared" si="2"/>
        <v>"C.G. - 
COÛTS DE GESTION GLOBALISÉS"</v>
      </c>
      <c r="H18" s="88"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25">
      <c r="A19" t="s">
        <v>253</v>
      </c>
      <c r="B19" t="e">
        <f t="shared" ca="1" si="1"/>
        <v>#N/A</v>
      </c>
      <c r="C19" s="86" t="s">
        <v>309</v>
      </c>
      <c r="D19" s="87" t="s">
        <v>72</v>
      </c>
      <c r="E19" s="88" t="s">
        <v>72</v>
      </c>
      <c r="F19" s="88" t="s">
        <v>73</v>
      </c>
      <c r="G19" s="88" t="str">
        <f t="shared" si="2"/>
        <v>"1. Personnel"</v>
      </c>
      <c r="H19" s="88"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25">
      <c r="A20" t="s">
        <v>253</v>
      </c>
      <c r="B20" t="e">
        <f t="shared" ca="1" si="1"/>
        <v>#N/A</v>
      </c>
      <c r="C20" s="86" t="s">
        <v>312</v>
      </c>
      <c r="D20" s="87" t="s">
        <v>74</v>
      </c>
      <c r="E20" s="88" t="s">
        <v>74</v>
      </c>
      <c r="F20" s="88" t="s">
        <v>75</v>
      </c>
      <c r="G20" s="88" t="str">
        <f t="shared" si="2"/>
        <v>"2. Evaluation &amp; Audit"</v>
      </c>
      <c r="H20" s="88"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25">
      <c r="A21" t="s">
        <v>253</v>
      </c>
      <c r="B21" t="e">
        <f t="shared" ca="1" si="1"/>
        <v>#N/A</v>
      </c>
      <c r="C21" s="86" t="s">
        <v>315</v>
      </c>
      <c r="D21" s="87" t="s">
        <v>76</v>
      </c>
      <c r="E21" s="88" t="s">
        <v>76</v>
      </c>
      <c r="F21" s="88" t="s">
        <v>77</v>
      </c>
      <c r="G21" s="88" t="str">
        <f t="shared" si="2"/>
        <v>"3. Autres coûts"</v>
      </c>
      <c r="H21" s="88"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25">
      <c r="A22" t="s">
        <v>253</v>
      </c>
      <c r="B22" t="e">
        <f t="shared" ca="1" si="1"/>
        <v>#N/A</v>
      </c>
      <c r="C22" s="86" t="s">
        <v>318</v>
      </c>
      <c r="D22" s="87" t="s">
        <v>78</v>
      </c>
      <c r="E22" s="88" t="s">
        <v>78</v>
      </c>
      <c r="F22" s="88" t="s">
        <v>57</v>
      </c>
      <c r="G22" s="88" t="str">
        <f t="shared" si="2"/>
        <v>"TOTAL"</v>
      </c>
      <c r="H22" s="88"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25">
      <c r="A23" t="s">
        <v>253</v>
      </c>
      <c r="B23" t="e">
        <f t="shared" ca="1" si="1"/>
        <v>#N/A</v>
      </c>
      <c r="C23" s="86" t="s">
        <v>321</v>
      </c>
      <c r="D23" s="87" t="s">
        <v>80</v>
      </c>
      <c r="E23" s="88" t="s">
        <v>80</v>
      </c>
      <c r="F23" s="88" t="s">
        <v>81</v>
      </c>
      <c r="G23" s="88" t="str">
        <f t="shared" si="2"/>
        <v>"C.D. - TOTAL COÛTS DIRECTS (C.D. = C.O. + C.G.)"</v>
      </c>
      <c r="H23" s="88"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25">
      <c r="A24" t="s">
        <v>324</v>
      </c>
      <c r="B24" t="e">
        <f t="shared" ca="1" si="1"/>
        <v>#N/A</v>
      </c>
      <c r="C24" s="86" t="s">
        <v>325</v>
      </c>
      <c r="D24" s="87" t="s">
        <v>326</v>
      </c>
      <c r="E24" s="88" t="s">
        <v>327</v>
      </c>
      <c r="F24" s="88" t="s">
        <v>328</v>
      </c>
      <c r="G24" s="88" t="str">
        <f t="shared" si="2"/>
        <v>"Budget du programme: C.G. - COÛTS DE GESTION GLOBALISÉS POUR LE PROGRAMME"</v>
      </c>
      <c r="H24" s="88"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25">
      <c r="A25" t="s">
        <v>324</v>
      </c>
      <c r="B25" t="e">
        <f t="shared" ca="1" si="1"/>
        <v>#N/A</v>
      </c>
      <c r="C25" s="86" t="s">
        <v>331</v>
      </c>
      <c r="D25" s="87" t="s">
        <v>87</v>
      </c>
      <c r="E25" s="88" t="s">
        <v>87</v>
      </c>
      <c r="F25" s="88" t="s">
        <v>88</v>
      </c>
      <c r="G25" s="88" t="str">
        <f t="shared" si="2"/>
        <v>"RUBRIQUES"</v>
      </c>
      <c r="H25" s="88"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25">
      <c r="A26" t="s">
        <v>324</v>
      </c>
      <c r="B26" t="e">
        <f t="shared" ca="1" si="1"/>
        <v>#N/A</v>
      </c>
      <c r="C26" s="86" t="s">
        <v>334</v>
      </c>
      <c r="D26" s="87" t="s">
        <v>78</v>
      </c>
      <c r="E26" s="88" t="s">
        <v>78</v>
      </c>
      <c r="F26" s="88" t="s">
        <v>57</v>
      </c>
      <c r="G26" s="88" t="str">
        <f t="shared" si="2"/>
        <v>"TOTAL"</v>
      </c>
      <c r="H26" s="88"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25">
      <c r="A27" t="s">
        <v>324</v>
      </c>
      <c r="B27" t="e">
        <f t="shared" ca="1" si="1"/>
        <v>#N/A</v>
      </c>
      <c r="C27" s="86" t="s">
        <v>336</v>
      </c>
      <c r="D27" s="87" t="s">
        <v>89</v>
      </c>
      <c r="E27" s="88" t="s">
        <v>89</v>
      </c>
      <c r="F27" s="88" t="s">
        <v>90</v>
      </c>
      <c r="G27" s="88" t="str">
        <f t="shared" si="2"/>
        <v>"TOTAL COÛTS DE GESTION"</v>
      </c>
      <c r="H27" s="88"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25">
      <c r="A28" t="s">
        <v>324</v>
      </c>
      <c r="B28" t="e">
        <f t="shared" ca="1" si="1"/>
        <v>#N/A</v>
      </c>
      <c r="C28" s="86" t="s">
        <v>339</v>
      </c>
      <c r="D28" s="87" t="s">
        <v>91</v>
      </c>
      <c r="E28" s="88" t="s">
        <v>91</v>
      </c>
      <c r="F28" s="88" t="s">
        <v>92</v>
      </c>
      <c r="G28" s="88" t="str">
        <f t="shared" si="2"/>
        <v>"1. TOTAL PERSONNEL"</v>
      </c>
      <c r="H28" s="88"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25">
      <c r="A29" t="s">
        <v>324</v>
      </c>
      <c r="B29" t="e">
        <f t="shared" ca="1" si="1"/>
        <v>#N/A</v>
      </c>
      <c r="C29" s="86" t="s">
        <v>342</v>
      </c>
      <c r="D29" s="87" t="s">
        <v>343</v>
      </c>
      <c r="E29" s="88" t="s">
        <v>343</v>
      </c>
      <c r="F29" s="88" t="s">
        <v>344</v>
      </c>
      <c r="G29" s="88" t="str">
        <f t="shared" si="2"/>
        <v>"1.1 Salaires au siège"</v>
      </c>
      <c r="H29" s="88"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25">
      <c r="A30" t="s">
        <v>324</v>
      </c>
      <c r="B30" t="e">
        <f t="shared" ca="1" si="1"/>
        <v>#N/A</v>
      </c>
      <c r="C30" s="86" t="s">
        <v>347</v>
      </c>
      <c r="D30" s="87" t="s">
        <v>348</v>
      </c>
      <c r="E30" s="88" t="s">
        <v>348</v>
      </c>
      <c r="F30" s="88" t="s">
        <v>349</v>
      </c>
      <c r="G30" s="88" t="str">
        <f t="shared" si="2"/>
        <v>"1.2 Salaires des expatriés"</v>
      </c>
      <c r="H30" s="88"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25">
      <c r="A31" t="s">
        <v>324</v>
      </c>
      <c r="B31" t="e">
        <f t="shared" ca="1" si="1"/>
        <v>#N/A</v>
      </c>
      <c r="C31" s="86" t="s">
        <v>352</v>
      </c>
      <c r="D31" s="87" t="s">
        <v>353</v>
      </c>
      <c r="E31" s="88" t="s">
        <v>353</v>
      </c>
      <c r="F31" s="88" t="s">
        <v>354</v>
      </c>
      <c r="G31" s="88" t="str">
        <f t="shared" si="2"/>
        <v>"1.3 Salaires du personnel local"</v>
      </c>
      <c r="H31" s="88"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25">
      <c r="A32" t="s">
        <v>324</v>
      </c>
      <c r="B32" t="e">
        <f t="shared" ca="1" si="1"/>
        <v>#N/A</v>
      </c>
      <c r="C32" s="86" t="s">
        <v>357</v>
      </c>
      <c r="D32" s="87" t="s">
        <v>358</v>
      </c>
      <c r="E32" s="88" t="s">
        <v>358</v>
      </c>
      <c r="F32" s="88" t="s">
        <v>359</v>
      </c>
      <c r="G32" s="88" t="str">
        <f t="shared" si="2"/>
        <v>"1.4 Autres frais de personnel"</v>
      </c>
      <c r="H32" s="88"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25">
      <c r="A33" t="s">
        <v>324</v>
      </c>
      <c r="B33" t="e">
        <f t="shared" ca="1" si="1"/>
        <v>#N/A</v>
      </c>
      <c r="C33" s="86" t="s">
        <v>362</v>
      </c>
      <c r="D33" s="87" t="s">
        <v>101</v>
      </c>
      <c r="E33" s="88" t="s">
        <v>101</v>
      </c>
      <c r="F33" s="88" t="s">
        <v>102</v>
      </c>
      <c r="G33" s="88" t="str">
        <f t="shared" si="2"/>
        <v>"2. TOTAL ÉVALUATION &amp; AUDIT"</v>
      </c>
      <c r="H33" s="88"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25">
      <c r="A34" t="s">
        <v>324</v>
      </c>
      <c r="B34" t="e">
        <f t="shared" ca="1" si="1"/>
        <v>#N/A</v>
      </c>
      <c r="C34" s="86" t="s">
        <v>365</v>
      </c>
      <c r="D34" s="87" t="s">
        <v>103</v>
      </c>
      <c r="E34" s="88" t="s">
        <v>103</v>
      </c>
      <c r="F34" s="88" t="s">
        <v>104</v>
      </c>
      <c r="G34" s="88" t="str">
        <f t="shared" si="2"/>
        <v>"2.1 Coûts d'audit"</v>
      </c>
      <c r="H34" s="88"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25">
      <c r="A35" t="s">
        <v>324</v>
      </c>
      <c r="B35" t="e">
        <f t="shared" ca="1" si="1"/>
        <v>#N/A</v>
      </c>
      <c r="C35" s="86" t="s">
        <v>368</v>
      </c>
      <c r="D35" s="87" t="s">
        <v>105</v>
      </c>
      <c r="E35" s="88" t="s">
        <v>105</v>
      </c>
      <c r="F35" s="88" t="s">
        <v>106</v>
      </c>
      <c r="G35" s="88" t="str">
        <f t="shared" si="2"/>
        <v>"2.2 Coûts d'évaluation"</v>
      </c>
      <c r="H35" s="88"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25">
      <c r="A36" t="s">
        <v>324</v>
      </c>
      <c r="B36" t="e">
        <f t="shared" ca="1" si="1"/>
        <v>#N/A</v>
      </c>
      <c r="C36" s="86" t="s">
        <v>371</v>
      </c>
      <c r="D36" s="87" t="s">
        <v>107</v>
      </c>
      <c r="E36" s="88" t="s">
        <v>107</v>
      </c>
      <c r="F36" s="88" t="s">
        <v>108</v>
      </c>
      <c r="G36" s="88" t="str">
        <f t="shared" si="2"/>
        <v>"3. TOTAL AUTRES COÛTS DE GESTION"</v>
      </c>
      <c r="H36" s="88"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25">
      <c r="A37" t="s">
        <v>324</v>
      </c>
      <c r="B37" t="e">
        <f t="shared" ca="1" si="1"/>
        <v>#N/A</v>
      </c>
      <c r="C37" s="86" t="s">
        <v>374</v>
      </c>
      <c r="D37" s="87" t="s">
        <v>109</v>
      </c>
      <c r="E37" s="88" t="s">
        <v>109</v>
      </c>
      <c r="F37" s="88" t="s">
        <v>110</v>
      </c>
      <c r="G37" s="88" t="str">
        <f t="shared" si="2"/>
        <v>"3.1 Investissements"</v>
      </c>
      <c r="H37" s="88"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25">
      <c r="A38" t="s">
        <v>324</v>
      </c>
      <c r="B38" t="e">
        <f t="shared" ca="1" si="1"/>
        <v>#N/A</v>
      </c>
      <c r="C38" s="86" t="s">
        <v>377</v>
      </c>
      <c r="D38" s="87" t="s">
        <v>111</v>
      </c>
      <c r="E38" s="88" t="s">
        <v>111</v>
      </c>
      <c r="F38" s="88" t="s">
        <v>112</v>
      </c>
      <c r="G38" s="88" t="str">
        <f t="shared" si="2"/>
        <v>"3.1.1 Achat de véhicules"</v>
      </c>
      <c r="H38" s="88"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25">
      <c r="A39" t="s">
        <v>324</v>
      </c>
      <c r="B39" t="e">
        <f t="shared" ca="1" si="1"/>
        <v>#N/A</v>
      </c>
      <c r="C39" s="86" t="s">
        <v>380</v>
      </c>
      <c r="D39" s="87" t="s">
        <v>113</v>
      </c>
      <c r="E39" s="88" t="s">
        <v>113</v>
      </c>
      <c r="F39" s="88" t="s">
        <v>114</v>
      </c>
      <c r="G39" s="88" t="str">
        <f t="shared" si="2"/>
        <v>"3.1.2 Mobilier, ICT"</v>
      </c>
      <c r="H39" s="88"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25">
      <c r="A40" t="s">
        <v>324</v>
      </c>
      <c r="B40" t="e">
        <f t="shared" ca="1" si="1"/>
        <v>#N/A</v>
      </c>
      <c r="C40" s="86" t="s">
        <v>383</v>
      </c>
      <c r="D40" s="87" t="s">
        <v>384</v>
      </c>
      <c r="E40" s="88" t="s">
        <v>384</v>
      </c>
      <c r="F40" s="88" t="s">
        <v>385</v>
      </c>
      <c r="G40" s="88" t="str">
        <f t="shared" si="2"/>
        <v>"3.1.3 Autres frais d'investissement"</v>
      </c>
      <c r="H40" s="88"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25">
      <c r="A41" t="s">
        <v>324</v>
      </c>
      <c r="B41" t="e">
        <f t="shared" ca="1" si="1"/>
        <v>#N/A</v>
      </c>
      <c r="C41" s="86" t="s">
        <v>388</v>
      </c>
      <c r="D41" s="87" t="s">
        <v>117</v>
      </c>
      <c r="E41" s="88" t="s">
        <v>117</v>
      </c>
      <c r="F41" s="88" t="s">
        <v>118</v>
      </c>
      <c r="G41" s="88" t="str">
        <f t="shared" si="2"/>
        <v>"3.2 Fonctionnement"</v>
      </c>
      <c r="H41" s="88"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25">
      <c r="A42" t="s">
        <v>324</v>
      </c>
      <c r="B42" t="e">
        <f t="shared" ca="1" si="1"/>
        <v>#N/A</v>
      </c>
      <c r="C42" s="86" t="s">
        <v>391</v>
      </c>
      <c r="D42" s="87" t="s">
        <v>119</v>
      </c>
      <c r="E42" s="88" t="s">
        <v>119</v>
      </c>
      <c r="F42" s="88" t="s">
        <v>120</v>
      </c>
      <c r="G42" s="88" t="str">
        <f t="shared" si="2"/>
        <v>"3.2.1 Déplacements"</v>
      </c>
      <c r="H42" s="88"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25">
      <c r="A43" t="s">
        <v>324</v>
      </c>
      <c r="B43" t="e">
        <f t="shared" ca="1" si="1"/>
        <v>#N/A</v>
      </c>
      <c r="C43" s="86" t="s">
        <v>394</v>
      </c>
      <c r="D43" s="87" t="s">
        <v>121</v>
      </c>
      <c r="E43" s="88" t="s">
        <v>121</v>
      </c>
      <c r="F43" s="88" t="s">
        <v>122</v>
      </c>
      <c r="G43" s="88" t="str">
        <f t="shared" si="2"/>
        <v>"3.2.2 Bureau local"</v>
      </c>
      <c r="H43" s="88"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25">
      <c r="A44" t="s">
        <v>324</v>
      </c>
      <c r="B44" t="e">
        <f t="shared" ca="1" si="1"/>
        <v>#N/A</v>
      </c>
      <c r="C44" s="86" t="s">
        <v>397</v>
      </c>
      <c r="D44" s="87" t="s">
        <v>398</v>
      </c>
      <c r="E44" s="88" t="s">
        <v>398</v>
      </c>
      <c r="F44" s="88" t="s">
        <v>399</v>
      </c>
      <c r="G44" s="88" t="str">
        <f t="shared" si="2"/>
        <v>"3.2.3 Autres frais de fonctionnement"</v>
      </c>
      <c r="H44" s="88"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25">
      <c r="A45" t="s">
        <v>324</v>
      </c>
      <c r="B45" t="e">
        <f t="shared" ca="1" si="1"/>
        <v>#N/A</v>
      </c>
      <c r="C45" s="86" t="s">
        <v>402</v>
      </c>
      <c r="D45" s="87" t="s">
        <v>157</v>
      </c>
      <c r="E45" s="88" t="s">
        <v>157</v>
      </c>
      <c r="F45" s="88" t="s">
        <v>158</v>
      </c>
      <c r="G45" s="88" t="str">
        <f t="shared" si="2"/>
        <v>"Salaire du personnel : montants bruts incluant les charges de sécurité sociale et les autres coûts liés"</v>
      </c>
      <c r="H45" s="88"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25">
      <c r="A46" t="s">
        <v>405</v>
      </c>
      <c r="B46" t="e">
        <f t="shared" ca="1" si="1"/>
        <v>#N/A</v>
      </c>
      <c r="C46" s="86" t="s">
        <v>406</v>
      </c>
      <c r="D46" s="87" t="s">
        <v>128</v>
      </c>
      <c r="E46" s="88" t="s">
        <v>128</v>
      </c>
      <c r="F46" s="88" t="s">
        <v>129</v>
      </c>
      <c r="G46" s="88" t="str">
        <f t="shared" si="2"/>
        <v>"C.A. - COÛTS D'ADMINISTRATION GLOBALISÉS POUR LE PROGRAMME"</v>
      </c>
      <c r="H46" s="88"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25">
      <c r="A47" t="s">
        <v>405</v>
      </c>
      <c r="B47" t="e">
        <f ca="1">_xlfn.FORMULATEXT(D47)</f>
        <v>#N/A</v>
      </c>
      <c r="C47" s="86" t="s">
        <v>409</v>
      </c>
      <c r="D47" s="87"/>
      <c r="E47" s="88" t="s">
        <v>87</v>
      </c>
      <c r="F47" s="88" t="s">
        <v>410</v>
      </c>
      <c r="G47" s="88" t="str">
        <f>CHAR(34)&amp;E47&amp;CHAR(34)</f>
        <v>"RUBRIQUES"</v>
      </c>
      <c r="H47" s="88"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25">
      <c r="A48" t="s">
        <v>405</v>
      </c>
      <c r="B48" t="e">
        <f t="shared" ca="1" si="1"/>
        <v>#N/A</v>
      </c>
      <c r="C48" s="86" t="s">
        <v>411</v>
      </c>
      <c r="D48" s="87" t="s">
        <v>87</v>
      </c>
      <c r="E48" s="88" t="s">
        <v>137</v>
      </c>
      <c r="F48" s="88" t="s">
        <v>138</v>
      </c>
      <c r="G48" s="88" t="str">
        <f t="shared" si="2"/>
        <v>"1.2 Sous-rubrique 2"</v>
      </c>
      <c r="H48" s="88"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25">
      <c r="A49" t="s">
        <v>405</v>
      </c>
      <c r="B49" t="e">
        <f t="shared" ca="1" si="1"/>
        <v>#N/A</v>
      </c>
      <c r="C49" s="86" t="s">
        <v>413</v>
      </c>
      <c r="D49" s="87" t="s">
        <v>130</v>
      </c>
      <c r="E49" s="88" t="s">
        <v>139</v>
      </c>
      <c r="F49" s="88" t="s">
        <v>140</v>
      </c>
      <c r="G49" s="88" t="str">
        <f t="shared" si="2"/>
        <v>"1.x Sous-rubrique x"</v>
      </c>
      <c r="H49" s="88"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25">
      <c r="A50" t="s">
        <v>405</v>
      </c>
      <c r="B50" t="e">
        <f t="shared" ca="1" si="1"/>
        <v>#N/A</v>
      </c>
      <c r="C50" s="86" t="s">
        <v>416</v>
      </c>
      <c r="D50" s="87" t="s">
        <v>132</v>
      </c>
      <c r="E50" s="88" t="s">
        <v>132</v>
      </c>
      <c r="F50" s="88" t="s">
        <v>133</v>
      </c>
      <c r="G50" s="88" t="str">
        <f t="shared" si="2"/>
        <v>"1. TOTAL INVESTISSEMENTS"</v>
      </c>
      <c r="H50" s="88"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25">
      <c r="A51" t="s">
        <v>405</v>
      </c>
      <c r="B51" t="e">
        <f t="shared" ca="1" si="1"/>
        <v>#N/A</v>
      </c>
      <c r="C51" s="86" t="s">
        <v>419</v>
      </c>
      <c r="D51" s="87" t="s">
        <v>134</v>
      </c>
      <c r="E51" s="88" t="s">
        <v>134</v>
      </c>
      <c r="F51" s="88" t="s">
        <v>135</v>
      </c>
      <c r="G51" s="88" t="str">
        <f t="shared" si="2"/>
        <v>"1.1 Sous-rubrique 1"</v>
      </c>
      <c r="H51" s="88"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25">
      <c r="A52" t="s">
        <v>405</v>
      </c>
      <c r="B52" t="e">
        <f t="shared" ca="1" si="1"/>
        <v>#N/A</v>
      </c>
      <c r="C52" s="86" t="s">
        <v>422</v>
      </c>
      <c r="D52" s="87" t="s">
        <v>137</v>
      </c>
      <c r="E52" s="88" t="s">
        <v>137</v>
      </c>
      <c r="F52" s="88" t="s">
        <v>138</v>
      </c>
      <c r="G52" s="88" t="str">
        <f t="shared" si="2"/>
        <v>"1.2 Sous-rubrique 2"</v>
      </c>
      <c r="H52" s="88"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25">
      <c r="A53" t="s">
        <v>405</v>
      </c>
      <c r="B53" t="e">
        <f t="shared" ca="1" si="1"/>
        <v>#N/A</v>
      </c>
      <c r="C53" s="86" t="s">
        <v>425</v>
      </c>
      <c r="D53" s="87" t="s">
        <v>139</v>
      </c>
      <c r="E53" s="88" t="s">
        <v>139</v>
      </c>
      <c r="F53" s="88" t="s">
        <v>140</v>
      </c>
      <c r="G53" s="88" t="str">
        <f t="shared" si="2"/>
        <v>"1.x Sous-rubrique x"</v>
      </c>
      <c r="H53" s="88"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25">
      <c r="A54" t="s">
        <v>405</v>
      </c>
      <c r="B54" t="e">
        <f t="shared" ca="1" si="1"/>
        <v>#N/A</v>
      </c>
      <c r="C54" s="86" t="s">
        <v>428</v>
      </c>
      <c r="D54" s="87" t="s">
        <v>141</v>
      </c>
      <c r="E54" s="88" t="s">
        <v>141</v>
      </c>
      <c r="F54" s="88" t="s">
        <v>142</v>
      </c>
      <c r="G54" s="88" t="str">
        <f t="shared" si="2"/>
        <v>"2. TOTAL FONCTIONNEMENT"</v>
      </c>
      <c r="H54" s="88"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25">
      <c r="A55" t="s">
        <v>405</v>
      </c>
      <c r="B55" t="e">
        <f t="shared" ca="1" si="1"/>
        <v>#N/A</v>
      </c>
      <c r="C55" s="86" t="s">
        <v>431</v>
      </c>
      <c r="D55" s="87" t="s">
        <v>143</v>
      </c>
      <c r="E55" s="88" t="s">
        <v>143</v>
      </c>
      <c r="F55" s="88" t="s">
        <v>144</v>
      </c>
      <c r="G55" s="88" t="str">
        <f t="shared" si="2"/>
        <v>"2.1 Sous-rubrique 1"</v>
      </c>
      <c r="H55" s="88"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25">
      <c r="A56" t="s">
        <v>405</v>
      </c>
      <c r="B56" t="e">
        <f t="shared" ca="1" si="1"/>
        <v>#N/A</v>
      </c>
      <c r="C56" s="86" t="s">
        <v>434</v>
      </c>
      <c r="D56" s="87" t="s">
        <v>145</v>
      </c>
      <c r="E56" s="88" t="s">
        <v>145</v>
      </c>
      <c r="F56" s="88" t="s">
        <v>146</v>
      </c>
      <c r="G56" s="88" t="str">
        <f t="shared" si="2"/>
        <v>"2.2 Sous-rubrique 2"</v>
      </c>
      <c r="H56" s="88"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25">
      <c r="A57" t="s">
        <v>405</v>
      </c>
      <c r="B57" t="e">
        <f t="shared" ca="1" si="1"/>
        <v>#N/A</v>
      </c>
      <c r="C57" s="86" t="s">
        <v>437</v>
      </c>
      <c r="D57" s="87" t="s">
        <v>147</v>
      </c>
      <c r="E57" s="88" t="s">
        <v>147</v>
      </c>
      <c r="F57" s="88" t="s">
        <v>148</v>
      </c>
      <c r="G57" s="88" t="str">
        <f t="shared" si="2"/>
        <v>"2.x Sous-rubrique x"</v>
      </c>
      <c r="H57" s="88"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25">
      <c r="A58" t="s">
        <v>405</v>
      </c>
      <c r="B58" t="e">
        <f t="shared" ca="1" si="1"/>
        <v>#N/A</v>
      </c>
      <c r="C58" s="86" t="s">
        <v>440</v>
      </c>
      <c r="D58" s="87" t="s">
        <v>149</v>
      </c>
      <c r="E58" s="88" t="s">
        <v>149</v>
      </c>
      <c r="F58" s="88" t="s">
        <v>150</v>
      </c>
      <c r="G58" s="88" t="str">
        <f t="shared" si="2"/>
        <v>"3. TOTAL PERSONNEL"</v>
      </c>
      <c r="H58" s="88"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25">
      <c r="A59" t="s">
        <v>405</v>
      </c>
      <c r="B59" t="e">
        <f t="shared" ca="1" si="1"/>
        <v>#N/A</v>
      </c>
      <c r="C59" s="86" t="s">
        <v>443</v>
      </c>
      <c r="D59" s="87" t="s">
        <v>151</v>
      </c>
      <c r="E59" s="88" t="s">
        <v>151</v>
      </c>
      <c r="F59" s="88" t="s">
        <v>152</v>
      </c>
      <c r="G59" s="88" t="str">
        <f t="shared" si="2"/>
        <v>"3.1 Sous-rubrique 1"</v>
      </c>
      <c r="H59" s="88"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25">
      <c r="A60" t="s">
        <v>405</v>
      </c>
      <c r="B60" t="e">
        <f t="shared" ca="1" si="1"/>
        <v>#N/A</v>
      </c>
      <c r="C60" s="86" t="s">
        <v>446</v>
      </c>
      <c r="D60" s="87" t="s">
        <v>153</v>
      </c>
      <c r="E60" s="88" t="s">
        <v>153</v>
      </c>
      <c r="F60" s="88" t="s">
        <v>154</v>
      </c>
      <c r="G60" s="88" t="str">
        <f t="shared" si="2"/>
        <v>"3.2 Sous-rubrique 2"</v>
      </c>
      <c r="H60" s="88"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25">
      <c r="A61" t="s">
        <v>405</v>
      </c>
      <c r="B61" t="e">
        <f t="shared" ca="1" si="1"/>
        <v>#N/A</v>
      </c>
      <c r="C61" s="86" t="s">
        <v>449</v>
      </c>
      <c r="D61" s="87" t="s">
        <v>155</v>
      </c>
      <c r="E61" s="88" t="s">
        <v>155</v>
      </c>
      <c r="F61" s="88" t="s">
        <v>156</v>
      </c>
      <c r="G61" s="88" t="str">
        <f t="shared" si="2"/>
        <v>"3.x Sous-rubrique x"</v>
      </c>
      <c r="H61" s="88"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25">
      <c r="A62" t="s">
        <v>405</v>
      </c>
      <c r="B62" t="e">
        <f t="shared" ref="B62:B118" ca="1" si="12">_xlfn.FORMULATEXT(D62)</f>
        <v>#N/A</v>
      </c>
      <c r="C62" s="86" t="s">
        <v>452</v>
      </c>
      <c r="D62" s="87" t="s">
        <v>157</v>
      </c>
      <c r="E62" s="88" t="s">
        <v>157</v>
      </c>
      <c r="F62" s="88" t="s">
        <v>158</v>
      </c>
      <c r="G62" s="88" t="str">
        <f t="shared" si="2"/>
        <v>"Salaire du personnel : montants bruts incluant les charges de sécurité sociale et les autres coûts liés"</v>
      </c>
      <c r="H62" s="88"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25">
      <c r="A63" t="s">
        <v>405</v>
      </c>
      <c r="B63" t="e">
        <f t="shared" ca="1" si="12"/>
        <v>#N/A</v>
      </c>
      <c r="C63" s="86" t="s">
        <v>454</v>
      </c>
      <c r="D63" s="87" t="s">
        <v>78</v>
      </c>
      <c r="E63" s="88" t="s">
        <v>130</v>
      </c>
      <c r="F63" s="88" t="s">
        <v>131</v>
      </c>
      <c r="G63" s="88" t="str">
        <f t="shared" si="2"/>
        <v>"TOTAL COÛTS D'ADMINISTRATION"</v>
      </c>
      <c r="H63" s="88"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25">
      <c r="A64" t="s">
        <v>456</v>
      </c>
      <c r="B64" t="e">
        <f t="shared" ca="1" si="12"/>
        <v>#N/A</v>
      </c>
      <c r="C64" t="s">
        <v>457</v>
      </c>
      <c r="D64" s="87" t="s">
        <v>458</v>
      </c>
      <c r="E64" s="88" t="s">
        <v>459</v>
      </c>
      <c r="F64" s="88" t="s">
        <v>460</v>
      </c>
      <c r="G64" s="88" t="str">
        <f t="shared" si="2"/>
        <v>"Acteur abbr."</v>
      </c>
      <c r="H64" s="88"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25">
      <c r="A65" t="s">
        <v>456</v>
      </c>
      <c r="B65" t="e">
        <f t="shared" ca="1" si="12"/>
        <v>#N/A</v>
      </c>
      <c r="C65" t="s">
        <v>463</v>
      </c>
      <c r="D65" s="87" t="s">
        <v>464</v>
      </c>
      <c r="E65" s="88" t="s">
        <v>465</v>
      </c>
      <c r="F65" s="88" t="s">
        <v>466</v>
      </c>
      <c r="G65" s="88" t="str">
        <f t="shared" si="2"/>
        <v>"Acteur nom"</v>
      </c>
      <c r="H65" s="88"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25">
      <c r="A66" t="s">
        <v>456</v>
      </c>
      <c r="B66" t="e">
        <f t="shared" ca="1" si="12"/>
        <v>#N/A</v>
      </c>
      <c r="C66" t="s">
        <v>469</v>
      </c>
      <c r="D66" s="87" t="s">
        <v>470</v>
      </c>
      <c r="E66" s="88" t="s">
        <v>470</v>
      </c>
      <c r="F66" s="88" t="s">
        <v>470</v>
      </c>
      <c r="G66" s="88" t="str">
        <f t="shared" si="2"/>
        <v>"IATI org-ID"</v>
      </c>
      <c r="H66" s="88"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25">
      <c r="A67" t="s">
        <v>456</v>
      </c>
      <c r="B67" t="e">
        <f t="shared" ca="1" si="12"/>
        <v>#N/A</v>
      </c>
      <c r="C67" t="s">
        <v>473</v>
      </c>
      <c r="D67" s="87" t="s">
        <v>474</v>
      </c>
      <c r="E67" s="88" t="s">
        <v>475</v>
      </c>
      <c r="F67" s="88" t="s">
        <v>476</v>
      </c>
      <c r="G67" s="88" t="str">
        <f t="shared" si="2"/>
        <v>"Titre programme"</v>
      </c>
      <c r="H67" s="88"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25">
      <c r="A68" t="s">
        <v>456</v>
      </c>
      <c r="B68" t="e">
        <f t="shared" ca="1" si="12"/>
        <v>#N/A</v>
      </c>
      <c r="C68" t="s">
        <v>479</v>
      </c>
      <c r="D68" s="87" t="s">
        <v>480</v>
      </c>
      <c r="E68" s="88" t="s">
        <v>481</v>
      </c>
      <c r="F68" s="88" t="s">
        <v>482</v>
      </c>
      <c r="G68" s="88" t="str">
        <f t="shared" ref="G68:G118" si="13">CHAR(34)&amp;E68&amp;CHAR(34)</f>
        <v>"Prg commun ?"</v>
      </c>
      <c r="H68" s="88"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25">
      <c r="A69" t="s">
        <v>456</v>
      </c>
      <c r="B69" t="e">
        <f t="shared" ca="1" si="12"/>
        <v>#N/A</v>
      </c>
      <c r="C69" t="s">
        <v>485</v>
      </c>
      <c r="D69" s="87" t="s">
        <v>486</v>
      </c>
      <c r="E69" s="88" t="s">
        <v>487</v>
      </c>
      <c r="F69" s="88" t="s">
        <v>488</v>
      </c>
      <c r="G69" s="88" t="str">
        <f t="shared" si="13"/>
        <v>"Objectifs spécifiques ("outcomes")"</v>
      </c>
      <c r="H69" s="88"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25">
      <c r="A70" t="s">
        <v>456</v>
      </c>
      <c r="B70" t="e">
        <f t="shared" ca="1" si="12"/>
        <v>#N/A</v>
      </c>
      <c r="C70" t="s">
        <v>491</v>
      </c>
      <c r="D70" s="87" t="s">
        <v>492</v>
      </c>
      <c r="E70" s="88" t="s">
        <v>493</v>
      </c>
      <c r="F70" s="88" t="s">
        <v>494</v>
      </c>
      <c r="G70" s="88" t="str">
        <f t="shared" si="13"/>
        <v>"Titre court (pour identification facile)"</v>
      </c>
      <c r="H70" s="88"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25">
      <c r="A71" t="s">
        <v>456</v>
      </c>
      <c r="B71" t="e">
        <f t="shared" ca="1" si="12"/>
        <v>#N/A</v>
      </c>
      <c r="C71" t="s">
        <v>497</v>
      </c>
      <c r="D71" s="87" t="s">
        <v>498</v>
      </c>
      <c r="E71" s="88" t="s">
        <v>499</v>
      </c>
      <c r="F71" s="88" t="s">
        <v>500</v>
      </c>
      <c r="G71" s="88" t="str">
        <f t="shared" si="13"/>
        <v>"Pays/Région"</v>
      </c>
      <c r="H71" s="88"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25">
      <c r="A72" t="s">
        <v>456</v>
      </c>
      <c r="B72" t="e">
        <f t="shared" ca="1" si="12"/>
        <v>#N/A</v>
      </c>
      <c r="C72" t="s">
        <v>503</v>
      </c>
      <c r="D72" s="87" t="s">
        <v>45</v>
      </c>
      <c r="E72" s="88" t="s">
        <v>45</v>
      </c>
      <c r="F72" s="88" t="s">
        <v>46</v>
      </c>
      <c r="G72" s="88" t="str">
        <f t="shared" si="13"/>
        <v>"CSC"</v>
      </c>
      <c r="H72" s="88"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25">
      <c r="A73" t="s">
        <v>456</v>
      </c>
      <c r="B73" t="e">
        <f t="shared" ca="1" si="12"/>
        <v>#N/A</v>
      </c>
      <c r="C73" t="s">
        <v>505</v>
      </c>
      <c r="D73" s="87" t="s">
        <v>506</v>
      </c>
      <c r="E73" s="88" t="s">
        <v>506</v>
      </c>
      <c r="F73" s="88" t="s">
        <v>507</v>
      </c>
      <c r="G73" s="88" t="str">
        <f t="shared" si="13"/>
        <v>"CSC check"</v>
      </c>
      <c r="H73" s="88"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25">
      <c r="A74" t="s">
        <v>456</v>
      </c>
      <c r="B74" t="e">
        <f t="shared" ca="1" si="12"/>
        <v>#N/A</v>
      </c>
      <c r="C74" t="s">
        <v>510</v>
      </c>
      <c r="D74" s="87" t="s">
        <v>511</v>
      </c>
      <c r="E74" s="88" t="s">
        <v>512</v>
      </c>
      <c r="F74" s="88" t="s">
        <v>513</v>
      </c>
      <c r="G74" s="88" t="str">
        <f t="shared" si="13"/>
        <v>"Total coûts opérationnels"</v>
      </c>
      <c r="H74" s="88"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25">
      <c r="A75">
        <v>1</v>
      </c>
      <c r="B75" t="e">
        <f t="shared" ca="1" si="12"/>
        <v>#N/A</v>
      </c>
      <c r="C75" s="86" t="s">
        <v>516</v>
      </c>
      <c r="D75" s="87" t="s">
        <v>517</v>
      </c>
      <c r="E75" s="88" t="s">
        <v>518</v>
      </c>
      <c r="F75" s="88" t="s">
        <v>519</v>
      </c>
      <c r="G75" s="88" t="str">
        <f t="shared" si="13"/>
        <v>"Titre:"</v>
      </c>
      <c r="H75" s="88"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25">
      <c r="A76">
        <v>1</v>
      </c>
      <c r="B76" t="e">
        <f t="shared" ca="1" si="12"/>
        <v>#N/A</v>
      </c>
      <c r="C76" s="86" t="s">
        <v>522</v>
      </c>
      <c r="D76" s="87" t="s">
        <v>523</v>
      </c>
      <c r="E76" s="88" t="s">
        <v>524</v>
      </c>
      <c r="F76" s="88" t="s">
        <v>525</v>
      </c>
      <c r="G76" s="88" t="str">
        <f t="shared" si="13"/>
        <v>"Pays/Région:"</v>
      </c>
      <c r="H76" s="88"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25">
      <c r="A77">
        <v>1</v>
      </c>
      <c r="B77" t="e">
        <f t="shared" ca="1" si="12"/>
        <v>#N/A</v>
      </c>
      <c r="C77" s="86" t="s">
        <v>528</v>
      </c>
      <c r="D77" s="87" t="s">
        <v>529</v>
      </c>
      <c r="E77" s="88" t="s">
        <v>529</v>
      </c>
      <c r="F77" s="88" t="s">
        <v>530</v>
      </c>
      <c r="G77" s="88" t="str">
        <f t="shared" si="13"/>
        <v>"CSC:"</v>
      </c>
      <c r="H77" s="88"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25">
      <c r="A78">
        <v>1</v>
      </c>
      <c r="B78" t="e">
        <f t="shared" ca="1" si="12"/>
        <v>#N/A</v>
      </c>
      <c r="C78" s="86" t="s">
        <v>533</v>
      </c>
      <c r="D78" s="87" t="s">
        <v>534</v>
      </c>
      <c r="E78" s="88" t="s">
        <v>535</v>
      </c>
      <c r="F78" s="88" t="s">
        <v>536</v>
      </c>
      <c r="G78" s="88" t="str">
        <f t="shared" si="13"/>
        <v>"Prg commun:"</v>
      </c>
      <c r="H78" s="88"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25">
      <c r="A79">
        <v>1</v>
      </c>
      <c r="B79" t="e">
        <f t="shared" ca="1" si="12"/>
        <v>#N/A</v>
      </c>
      <c r="C79" s="86" t="s">
        <v>539</v>
      </c>
      <c r="D79" s="87" t="s">
        <v>540</v>
      </c>
      <c r="E79" s="88" t="s">
        <v>540</v>
      </c>
      <c r="F79" s="88" t="s">
        <v>540</v>
      </c>
      <c r="G79" s="88" t="str">
        <f t="shared" si="13"/>
        <v>"IATI ID"</v>
      </c>
      <c r="H79" s="88"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25">
      <c r="A80">
        <v>1</v>
      </c>
      <c r="B80" t="e">
        <f t="shared" ca="1" si="12"/>
        <v>#N/A</v>
      </c>
      <c r="C80" s="86" t="s">
        <v>543</v>
      </c>
      <c r="D80" s="87" t="s">
        <v>87</v>
      </c>
      <c r="E80" s="88" t="s">
        <v>87</v>
      </c>
      <c r="F80" s="88" t="s">
        <v>88</v>
      </c>
      <c r="G80" s="88" t="str">
        <f t="shared" si="13"/>
        <v>"RUBRIQUES"</v>
      </c>
      <c r="H80" s="88"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25">
      <c r="A81">
        <v>1</v>
      </c>
      <c r="B81" t="e">
        <f t="shared" ca="1" si="12"/>
        <v>#N/A</v>
      </c>
      <c r="C81" s="86" t="s">
        <v>545</v>
      </c>
      <c r="D81" s="87" t="s">
        <v>162</v>
      </c>
      <c r="E81" s="88" t="s">
        <v>162</v>
      </c>
      <c r="F81" s="88" t="s">
        <v>163</v>
      </c>
      <c r="G81" s="88" t="str">
        <f t="shared" si="13"/>
        <v>"1. TOTAL PARTENAIRES"</v>
      </c>
      <c r="H81" s="88"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25">
      <c r="A82">
        <v>1</v>
      </c>
      <c r="B82" t="e">
        <f t="shared" ca="1" si="12"/>
        <v>#N/A</v>
      </c>
      <c r="C82" s="86" t="s">
        <v>548</v>
      </c>
      <c r="D82" s="87" t="s">
        <v>164</v>
      </c>
      <c r="E82" s="88" t="s">
        <v>164</v>
      </c>
      <c r="F82" s="88" t="s">
        <v>165</v>
      </c>
      <c r="G82" s="88" t="str">
        <f t="shared" si="13"/>
        <v>"1.1 Investissements"</v>
      </c>
      <c r="H82" s="88"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25">
      <c r="A83">
        <v>1</v>
      </c>
      <c r="B83" t="e">
        <f t="shared" ca="1" si="12"/>
        <v>#N/A</v>
      </c>
      <c r="C83" s="86" t="s">
        <v>551</v>
      </c>
      <c r="D83" s="87" t="s">
        <v>166</v>
      </c>
      <c r="E83" s="88" t="s">
        <v>166</v>
      </c>
      <c r="F83" s="88" t="s">
        <v>167</v>
      </c>
      <c r="G83" s="88" t="str">
        <f t="shared" si="13"/>
        <v>"1.2 Fonctionnement"</v>
      </c>
      <c r="H83" s="88"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25">
      <c r="A84">
        <v>1</v>
      </c>
      <c r="B84" t="e">
        <f t="shared" ca="1" si="12"/>
        <v>#N/A</v>
      </c>
      <c r="C84" s="86" t="s">
        <v>554</v>
      </c>
      <c r="D84" s="87" t="s">
        <v>168</v>
      </c>
      <c r="E84" s="88" t="s">
        <v>168</v>
      </c>
      <c r="F84" s="88" t="s">
        <v>169</v>
      </c>
      <c r="G84" s="88" t="str">
        <f t="shared" si="13"/>
        <v>"1.3 Personnel"</v>
      </c>
      <c r="H84" s="88"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25">
      <c r="A85">
        <v>1</v>
      </c>
      <c r="B85" t="e">
        <f t="shared" ca="1" si="12"/>
        <v>#N/A</v>
      </c>
      <c r="C85" s="86" t="s">
        <v>557</v>
      </c>
      <c r="D85" s="87" t="s">
        <v>170</v>
      </c>
      <c r="E85" s="88" t="s">
        <v>170</v>
      </c>
      <c r="F85" s="88" t="s">
        <v>171</v>
      </c>
      <c r="G85" s="88" t="str">
        <f t="shared" si="13"/>
        <v>"2. TOTAL COLLABORATIONS"</v>
      </c>
      <c r="H85" s="88"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25">
      <c r="A86">
        <v>1</v>
      </c>
      <c r="B86" t="e">
        <f t="shared" ca="1" si="12"/>
        <v>#N/A</v>
      </c>
      <c r="C86" s="86" t="s">
        <v>560</v>
      </c>
      <c r="D86" s="87" t="s">
        <v>172</v>
      </c>
      <c r="E86" s="88" t="s">
        <v>172</v>
      </c>
      <c r="F86" s="88" t="s">
        <v>173</v>
      </c>
      <c r="G86" s="88" t="str">
        <f t="shared" si="13"/>
        <v>"2.1 Investissements"</v>
      </c>
      <c r="H86" s="88"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25">
      <c r="A87">
        <v>1</v>
      </c>
      <c r="B87" t="e">
        <f t="shared" ca="1" si="12"/>
        <v>#N/A</v>
      </c>
      <c r="C87" s="86" t="s">
        <v>563</v>
      </c>
      <c r="D87" s="87" t="s">
        <v>174</v>
      </c>
      <c r="E87" s="88" t="s">
        <v>174</v>
      </c>
      <c r="F87" s="88" t="s">
        <v>175</v>
      </c>
      <c r="G87" s="88" t="str">
        <f t="shared" si="13"/>
        <v>"2.2 Fonctionnement"</v>
      </c>
      <c r="H87" s="88"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25">
      <c r="A88">
        <v>1</v>
      </c>
      <c r="B88" t="e">
        <f t="shared" ca="1" si="12"/>
        <v>#N/A</v>
      </c>
      <c r="C88" s="86" t="s">
        <v>566</v>
      </c>
      <c r="D88" s="87" t="s">
        <v>176</v>
      </c>
      <c r="E88" s="88" t="s">
        <v>176</v>
      </c>
      <c r="F88" s="88" t="s">
        <v>177</v>
      </c>
      <c r="G88" s="88" t="str">
        <f t="shared" si="13"/>
        <v>"2.3 Personnel"</v>
      </c>
      <c r="H88" s="88"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25">
      <c r="A89">
        <v>1</v>
      </c>
      <c r="B89" t="e">
        <f t="shared" ca="1" si="12"/>
        <v>#N/A</v>
      </c>
      <c r="C89" s="86" t="s">
        <v>569</v>
      </c>
      <c r="D89" s="87" t="s">
        <v>178</v>
      </c>
      <c r="E89" s="88" t="s">
        <v>178</v>
      </c>
      <c r="F89" s="88" t="s">
        <v>179</v>
      </c>
      <c r="G89" s="88" t="str">
        <f t="shared" si="13"/>
        <v>"3. TOTAL BUREAU LOCAL"</v>
      </c>
      <c r="H89" s="88"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25">
      <c r="A90">
        <v>1</v>
      </c>
      <c r="B90" t="e">
        <f t="shared" ca="1" si="12"/>
        <v>#N/A</v>
      </c>
      <c r="C90" s="86" t="s">
        <v>572</v>
      </c>
      <c r="D90" s="87" t="s">
        <v>109</v>
      </c>
      <c r="E90" s="88" t="s">
        <v>109</v>
      </c>
      <c r="F90" s="88" t="s">
        <v>110</v>
      </c>
      <c r="G90" s="88" t="str">
        <f t="shared" si="13"/>
        <v>"3.1 Investissements"</v>
      </c>
      <c r="H90" s="88"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25">
      <c r="A91">
        <v>1</v>
      </c>
      <c r="B91" t="e">
        <f t="shared" ca="1" si="12"/>
        <v>#N/A</v>
      </c>
      <c r="C91" s="86" t="s">
        <v>574</v>
      </c>
      <c r="D91" s="87" t="s">
        <v>117</v>
      </c>
      <c r="E91" s="88" t="s">
        <v>117</v>
      </c>
      <c r="F91" s="88" t="s">
        <v>118</v>
      </c>
      <c r="G91" s="88" t="str">
        <f t="shared" si="13"/>
        <v>"3.2 Fonctionnement"</v>
      </c>
      <c r="H91" s="88"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25">
      <c r="A92">
        <v>1</v>
      </c>
      <c r="B92" t="e">
        <f t="shared" ca="1" si="12"/>
        <v>#N/A</v>
      </c>
      <c r="C92" s="86" t="s">
        <v>576</v>
      </c>
      <c r="D92" s="87" t="s">
        <v>180</v>
      </c>
      <c r="E92" s="88" t="s">
        <v>180</v>
      </c>
      <c r="F92" s="88" t="s">
        <v>181</v>
      </c>
      <c r="G92" s="88" t="str">
        <f t="shared" si="13"/>
        <v>"3.3 Personnel"</v>
      </c>
      <c r="H92" s="88"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25">
      <c r="A93">
        <v>1</v>
      </c>
      <c r="B93" t="e">
        <f t="shared" ca="1" si="12"/>
        <v>#N/A</v>
      </c>
      <c r="C93" s="86" t="s">
        <v>579</v>
      </c>
      <c r="D93" s="87" t="s">
        <v>182</v>
      </c>
      <c r="E93" s="88" t="s">
        <v>182</v>
      </c>
      <c r="F93" s="88" t="s">
        <v>580</v>
      </c>
      <c r="G93" s="88" t="str">
        <f t="shared" si="13"/>
        <v>"4. TOTAL SIÈGE"</v>
      </c>
      <c r="H93" s="88"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25">
      <c r="A94">
        <v>1</v>
      </c>
      <c r="B94" t="e">
        <f t="shared" ca="1" si="12"/>
        <v>#N/A</v>
      </c>
      <c r="C94" s="86" t="s">
        <v>583</v>
      </c>
      <c r="D94" s="87" t="s">
        <v>184</v>
      </c>
      <c r="E94" s="88" t="s">
        <v>184</v>
      </c>
      <c r="F94" s="88" t="s">
        <v>185</v>
      </c>
      <c r="G94" s="88" t="str">
        <f t="shared" si="13"/>
        <v>"4.1 Investissements"</v>
      </c>
      <c r="H94" s="88"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25">
      <c r="A95">
        <v>1</v>
      </c>
      <c r="B95" t="e">
        <f t="shared" ca="1" si="12"/>
        <v>#N/A</v>
      </c>
      <c r="C95" s="86" t="s">
        <v>586</v>
      </c>
      <c r="D95" s="87" t="s">
        <v>186</v>
      </c>
      <c r="E95" s="88" t="s">
        <v>186</v>
      </c>
      <c r="F95" s="88" t="s">
        <v>187</v>
      </c>
      <c r="G95" s="88" t="str">
        <f t="shared" si="13"/>
        <v>"4.2 Fonctionnement"</v>
      </c>
      <c r="H95" s="88"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25">
      <c r="A96">
        <v>1</v>
      </c>
      <c r="B96" t="e">
        <f t="shared" ca="1" si="12"/>
        <v>#N/A</v>
      </c>
      <c r="C96" s="86" t="s">
        <v>589</v>
      </c>
      <c r="D96" s="87" t="s">
        <v>188</v>
      </c>
      <c r="E96" s="88" t="s">
        <v>188</v>
      </c>
      <c r="F96" s="88" t="s">
        <v>189</v>
      </c>
      <c r="G96" s="88" t="str">
        <f t="shared" si="13"/>
        <v>"4.3 Personnel"</v>
      </c>
      <c r="H96" s="88"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25">
      <c r="A97">
        <v>1</v>
      </c>
      <c r="B97" t="e">
        <f t="shared" ca="1" si="12"/>
        <v>#N/A</v>
      </c>
      <c r="C97" s="86" t="s">
        <v>592</v>
      </c>
      <c r="D97" s="87" t="s">
        <v>190</v>
      </c>
      <c r="E97" s="88" t="s">
        <v>190</v>
      </c>
      <c r="F97" s="88" t="s">
        <v>191</v>
      </c>
      <c r="G97" s="88" t="str">
        <f t="shared" si="13"/>
        <v>"TOTAL DES COÛTS OPÉRATIONNELS POUR L'OUTCOME"</v>
      </c>
      <c r="H97" s="88"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25">
      <c r="A98">
        <v>1</v>
      </c>
      <c r="B98" t="e">
        <f t="shared" ca="1" si="12"/>
        <v>#N/A</v>
      </c>
      <c r="C98" s="86" t="s">
        <v>595</v>
      </c>
      <c r="D98" s="87" t="s">
        <v>192</v>
      </c>
      <c r="E98" s="88" t="s">
        <v>192</v>
      </c>
      <c r="F98" s="88" t="s">
        <v>193</v>
      </c>
      <c r="G98" s="88" t="str">
        <f t="shared" si="13"/>
        <v>"TOTAL INVESTISSEMENTS"</v>
      </c>
      <c r="H98" s="88"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25">
      <c r="A99">
        <v>1</v>
      </c>
      <c r="B99" t="e">
        <f t="shared" ca="1" si="12"/>
        <v>#N/A</v>
      </c>
      <c r="C99" s="86" t="s">
        <v>598</v>
      </c>
      <c r="D99" s="87" t="s">
        <v>194</v>
      </c>
      <c r="E99" s="88" t="s">
        <v>194</v>
      </c>
      <c r="F99" s="88" t="s">
        <v>195</v>
      </c>
      <c r="G99" s="88" t="str">
        <f t="shared" si="13"/>
        <v>"A. Achat de véhicules"</v>
      </c>
      <c r="H99" s="88"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25">
      <c r="A100">
        <v>1</v>
      </c>
      <c r="B100" t="e">
        <f t="shared" ca="1" si="12"/>
        <v>#N/A</v>
      </c>
      <c r="C100" s="86" t="s">
        <v>601</v>
      </c>
      <c r="D100" s="87" t="s">
        <v>196</v>
      </c>
      <c r="E100" s="88" t="s">
        <v>196</v>
      </c>
      <c r="F100" s="88" t="s">
        <v>197</v>
      </c>
      <c r="G100" s="88" t="str">
        <f t="shared" si="13"/>
        <v>"B. Mobilier, ICT"</v>
      </c>
      <c r="H100" s="88"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25">
      <c r="A101">
        <v>1</v>
      </c>
      <c r="B101" t="e">
        <f t="shared" ca="1" si="12"/>
        <v>#N/A</v>
      </c>
      <c r="C101" s="86" t="s">
        <v>604</v>
      </c>
      <c r="D101" s="87" t="s">
        <v>605</v>
      </c>
      <c r="E101" s="88" t="s">
        <v>605</v>
      </c>
      <c r="F101" s="88" t="s">
        <v>606</v>
      </c>
      <c r="G101" s="88" t="str">
        <f t="shared" si="13"/>
        <v>"C. Autres"</v>
      </c>
      <c r="H101" s="88"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25">
      <c r="A102">
        <v>1</v>
      </c>
      <c r="B102" t="e">
        <f t="shared" ca="1" si="12"/>
        <v>#N/A</v>
      </c>
      <c r="C102" s="86" t="s">
        <v>609</v>
      </c>
      <c r="D102" s="87" t="s">
        <v>200</v>
      </c>
      <c r="E102" s="88" t="s">
        <v>200</v>
      </c>
      <c r="F102" s="88" t="s">
        <v>201</v>
      </c>
      <c r="G102" s="88" t="str">
        <f t="shared" si="13"/>
        <v>"TOTAL FONCTIONNEMENT"</v>
      </c>
      <c r="H102" s="88"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25">
      <c r="A103">
        <v>1</v>
      </c>
      <c r="B103" t="e">
        <f t="shared" ca="1" si="12"/>
        <v>#N/A</v>
      </c>
      <c r="C103" s="86" t="s">
        <v>612</v>
      </c>
      <c r="D103" s="87" t="s">
        <v>202</v>
      </c>
      <c r="E103" s="88" t="s">
        <v>202</v>
      </c>
      <c r="F103" s="88" t="s">
        <v>203</v>
      </c>
      <c r="G103" s="88" t="str">
        <f t="shared" si="13"/>
        <v>"A. Déplacements"</v>
      </c>
      <c r="H103" s="88"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25">
      <c r="A104">
        <v>1</v>
      </c>
      <c r="B104" t="e">
        <f t="shared" ca="1" si="12"/>
        <v>#N/A</v>
      </c>
      <c r="C104" s="86" t="s">
        <v>615</v>
      </c>
      <c r="D104" s="87" t="s">
        <v>204</v>
      </c>
      <c r="E104" s="88" t="s">
        <v>204</v>
      </c>
      <c r="F104" s="88" t="s">
        <v>205</v>
      </c>
      <c r="G104" s="88" t="str">
        <f t="shared" si="13"/>
        <v>"B. Bureau local"</v>
      </c>
      <c r="H104" s="88"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25">
      <c r="A105">
        <v>1</v>
      </c>
      <c r="B105" t="e">
        <f t="shared" ca="1" si="12"/>
        <v>#N/A</v>
      </c>
      <c r="C105" s="86" t="s">
        <v>618</v>
      </c>
      <c r="D105" s="87" t="s">
        <v>605</v>
      </c>
      <c r="E105" s="88" t="s">
        <v>605</v>
      </c>
      <c r="F105" s="88" t="s">
        <v>606</v>
      </c>
      <c r="G105" s="88" t="str">
        <f t="shared" si="13"/>
        <v>"C. Autres"</v>
      </c>
      <c r="H105" s="88"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25">
      <c r="A106">
        <v>1</v>
      </c>
      <c r="B106" t="e">
        <f t="shared" ca="1" si="12"/>
        <v>#N/A</v>
      </c>
      <c r="C106" s="86" t="s">
        <v>620</v>
      </c>
      <c r="D106" s="87" t="s">
        <v>208</v>
      </c>
      <c r="E106" s="88" t="s">
        <v>208</v>
      </c>
      <c r="F106" s="88" t="s">
        <v>209</v>
      </c>
      <c r="G106" s="88" t="str">
        <f t="shared" si="13"/>
        <v>"TOTAL PERSONNEL"</v>
      </c>
      <c r="H106" s="88"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25">
      <c r="A107">
        <v>1</v>
      </c>
      <c r="B107" t="e">
        <f t="shared" ca="1" si="12"/>
        <v>#N/A</v>
      </c>
      <c r="C107" s="86" t="s">
        <v>623</v>
      </c>
      <c r="D107" s="87" t="s">
        <v>210</v>
      </c>
      <c r="E107" s="88" t="s">
        <v>210</v>
      </c>
      <c r="F107" s="88" t="s">
        <v>211</v>
      </c>
      <c r="G107" s="88" t="str">
        <f t="shared" si="13"/>
        <v>"A. Salaires au siège"</v>
      </c>
      <c r="H107" s="88"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25">
      <c r="A108">
        <v>1</v>
      </c>
      <c r="B108" t="e">
        <f t="shared" ca="1" si="12"/>
        <v>#N/A</v>
      </c>
      <c r="C108" s="86" t="s">
        <v>626</v>
      </c>
      <c r="D108" s="87" t="s">
        <v>212</v>
      </c>
      <c r="E108" s="88" t="s">
        <v>212</v>
      </c>
      <c r="F108" s="88" t="s">
        <v>213</v>
      </c>
      <c r="G108" s="88" t="str">
        <f t="shared" si="13"/>
        <v>"B. Salaires des expatriés"</v>
      </c>
      <c r="H108" s="88"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25">
      <c r="A109">
        <v>1</v>
      </c>
      <c r="B109" t="e">
        <f t="shared" ca="1" si="12"/>
        <v>#N/A</v>
      </c>
      <c r="C109" s="86" t="s">
        <v>629</v>
      </c>
      <c r="D109" s="87" t="s">
        <v>214</v>
      </c>
      <c r="E109" s="88" t="s">
        <v>214</v>
      </c>
      <c r="F109" s="88" t="s">
        <v>215</v>
      </c>
      <c r="G109" s="88" t="str">
        <f t="shared" si="13"/>
        <v>"C. Salaires du personnel local"</v>
      </c>
      <c r="H109" s="88"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25">
      <c r="A110">
        <v>1</v>
      </c>
      <c r="B110" t="e">
        <f t="shared" ca="1" si="12"/>
        <v>#N/A</v>
      </c>
      <c r="C110" s="86" t="s">
        <v>632</v>
      </c>
      <c r="D110" s="87" t="s">
        <v>633</v>
      </c>
      <c r="E110" s="88" t="s">
        <v>633</v>
      </c>
      <c r="F110" s="88" t="s">
        <v>634</v>
      </c>
      <c r="G110" s="88" t="str">
        <f t="shared" si="13"/>
        <v>"D. Autres frais"</v>
      </c>
      <c r="H110" s="88"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25">
      <c r="A111">
        <v>1</v>
      </c>
      <c r="B111" t="e">
        <f t="shared" ca="1" si="12"/>
        <v>#N/A</v>
      </c>
      <c r="C111" s="86" t="s">
        <v>637</v>
      </c>
      <c r="D111" s="87" t="s">
        <v>157</v>
      </c>
      <c r="E111" s="88" t="s">
        <v>157</v>
      </c>
      <c r="F111" s="88" t="s">
        <v>158</v>
      </c>
      <c r="G111" s="88" t="str">
        <f t="shared" si="13"/>
        <v>"Salaire du personnel : montants bruts incluant les charges de sécurité sociale et les autres coûts liés"</v>
      </c>
      <c r="H111" s="88"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25">
      <c r="A112">
        <v>1</v>
      </c>
      <c r="B112" t="e">
        <f t="shared" ca="1" si="12"/>
        <v>#N/A</v>
      </c>
      <c r="C112" s="86" t="s">
        <v>639</v>
      </c>
      <c r="D112" s="87" t="s">
        <v>190</v>
      </c>
      <c r="E112" s="88" t="s">
        <v>190</v>
      </c>
      <c r="F112" s="88" t="s">
        <v>640</v>
      </c>
      <c r="G112" s="88" t="str">
        <f t="shared" si="13"/>
        <v>"TOTAL DES COÛTS OPÉRATIONNELS POUR L'OUTCOME"</v>
      </c>
      <c r="H112" s="88"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25">
      <c r="A113">
        <v>1</v>
      </c>
      <c r="B113" t="e">
        <f t="shared" ca="1" si="12"/>
        <v>#N/A</v>
      </c>
      <c r="C113" s="86" t="s">
        <v>644</v>
      </c>
      <c r="D113" s="87" t="s">
        <v>223</v>
      </c>
      <c r="E113" s="88" t="s">
        <v>223</v>
      </c>
      <c r="F113" s="88" t="s">
        <v>224</v>
      </c>
      <c r="G113" s="88" t="str">
        <f t="shared" si="13"/>
        <v>"ACTIVITÉS SUPRANATIONALES"</v>
      </c>
      <c r="H113" s="88"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25">
      <c r="A114">
        <v>1</v>
      </c>
      <c r="B114" t="e">
        <f t="shared" ca="1" si="12"/>
        <v>#N/A</v>
      </c>
      <c r="C114" s="86" t="s">
        <v>647</v>
      </c>
      <c r="D114" s="87" t="s">
        <v>225</v>
      </c>
      <c r="E114" s="88" t="s">
        <v>648</v>
      </c>
      <c r="F114" s="88" t="s">
        <v>649</v>
      </c>
      <c r="G114" s="88" t="str">
        <f t="shared" si="13"/>
        <v>"PAYS 1"</v>
      </c>
      <c r="H114" s="88"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25">
      <c r="A115">
        <v>1</v>
      </c>
      <c r="B115" t="e">
        <f t="shared" ca="1" si="12"/>
        <v>#N/A</v>
      </c>
      <c r="C115" s="86" t="s">
        <v>652</v>
      </c>
      <c r="D115" s="87" t="s">
        <v>227</v>
      </c>
      <c r="E115" s="88" t="s">
        <v>653</v>
      </c>
      <c r="F115" s="88" t="s">
        <v>654</v>
      </c>
      <c r="G115" s="88" t="str">
        <f t="shared" si="13"/>
        <v>"PAYS 2"</v>
      </c>
      <c r="H115" s="88"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25">
      <c r="A116">
        <v>1</v>
      </c>
      <c r="B116" t="e">
        <f t="shared" ca="1" si="12"/>
        <v>#N/A</v>
      </c>
      <c r="C116" s="86" t="s">
        <v>657</v>
      </c>
      <c r="D116" s="87" t="s">
        <v>229</v>
      </c>
      <c r="E116" s="88" t="s">
        <v>658</v>
      </c>
      <c r="F116" s="88" t="s">
        <v>659</v>
      </c>
      <c r="G116" s="88" t="str">
        <f t="shared" si="13"/>
        <v>"PAYS 3"</v>
      </c>
      <c r="H116" s="88"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25">
      <c r="A117">
        <v>1</v>
      </c>
      <c r="B117" t="e">
        <f t="shared" ca="1" si="12"/>
        <v>#N/A</v>
      </c>
      <c r="C117" s="86" t="s">
        <v>662</v>
      </c>
      <c r="D117" s="87" t="s">
        <v>231</v>
      </c>
      <c r="E117" s="88" t="s">
        <v>663</v>
      </c>
      <c r="F117" s="88" t="s">
        <v>664</v>
      </c>
      <c r="G117" s="88" t="str">
        <f t="shared" si="13"/>
        <v>"PAYS 4"</v>
      </c>
      <c r="H117" s="88"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25">
      <c r="A118">
        <v>1</v>
      </c>
      <c r="B118" t="e">
        <f t="shared" ca="1" si="12"/>
        <v>#N/A</v>
      </c>
      <c r="C118" s="86" t="s">
        <v>667</v>
      </c>
      <c r="D118" s="87" t="s">
        <v>668</v>
      </c>
      <c r="E118" s="88" t="s">
        <v>669</v>
      </c>
      <c r="F118" s="88" t="s">
        <v>670</v>
      </c>
      <c r="G118" s="88" t="str">
        <f t="shared" si="13"/>
        <v>"PAYS 5"</v>
      </c>
      <c r="H118" s="88"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25">
      <c r="B119" t="e">
        <f ca="1">_xlfn.FORMULATEXT(D119)</f>
        <v>#N/A</v>
      </c>
      <c r="D119" s="87"/>
      <c r="E119" s="88" t="s">
        <v>673</v>
      </c>
      <c r="F119" s="88" t="s">
        <v>674</v>
      </c>
      <c r="G119" s="88" t="str">
        <f>CHAR(34)&amp;E119&amp;CHAR(34)</f>
        <v>"PROGRAMME 2022-2026 - CALCUL DU SUBSIDE"</v>
      </c>
      <c r="H119" s="8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25">
      <c r="B120" t="e">
        <f ca="1">_xlfn.FORMULATEXT(D120)</f>
        <v>#N/A</v>
      </c>
      <c r="D120" s="87"/>
      <c r="E120" s="88" t="s">
        <v>4</v>
      </c>
      <c r="F120" s="88" t="s">
        <v>5</v>
      </c>
      <c r="G120" s="88" t="str">
        <f>CHAR(34)&amp;E120&amp;CHAR(34)</f>
        <v>"Le calcul du subside est effectué automatiquement en considérant 1) le type d'acteur (OSC ou AI) pour déterminer le pourcentage de cofinancement, et 2) le choix de prétendre à des coûts de structure ou des coûts d'administration."</v>
      </c>
      <c r="H120" s="8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25">
      <c r="B121" t="e">
        <f t="shared" ref="B121:B126" ca="1" si="23">_xlfn.FORMULATEXT(D121)</f>
        <v>#N/A</v>
      </c>
      <c r="D121" s="87"/>
      <c r="E121" s="88" t="s">
        <v>8</v>
      </c>
      <c r="F121" s="88" t="s">
        <v>9</v>
      </c>
      <c r="G121" s="88" t="str">
        <f t="shared" ref="G121:G126" si="24">CHAR(34)&amp;E121&amp;CHAR(34)</f>
        <v>"C.D. - TOTAL COÛTS DIRECTS"</v>
      </c>
      <c r="H121" s="8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25">
      <c r="B122" t="e">
        <f t="shared" ca="1" si="23"/>
        <v>#N/A</v>
      </c>
      <c r="D122" s="87"/>
      <c r="E122" s="88" t="s">
        <v>10</v>
      </c>
      <c r="F122" s="88" t="s">
        <v>11</v>
      </c>
      <c r="G122" s="88" t="str">
        <f t="shared" si="24"/>
        <v>"C.D. - CONTRIBUTION OSC / AI (20% - 0%)"</v>
      </c>
      <c r="H122" s="8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25">
      <c r="B123" t="e">
        <f t="shared" ca="1" si="23"/>
        <v>#N/A</v>
      </c>
      <c r="D123" s="87"/>
      <c r="E123" s="88" t="s">
        <v>12</v>
      </c>
      <c r="F123" s="88" t="s">
        <v>675</v>
      </c>
      <c r="G123" s="88" t="str">
        <f t="shared" si="24"/>
        <v>"C.D. - CONTRIBUTION DGD (80% - 100%)"</v>
      </c>
      <c r="H123" s="8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25">
      <c r="B124" t="e">
        <f t="shared" ca="1" si="23"/>
        <v>#N/A</v>
      </c>
      <c r="D124" s="87"/>
      <c r="E124" s="88" t="s">
        <v>14</v>
      </c>
      <c r="F124" s="88" t="s">
        <v>15</v>
      </c>
      <c r="G124" s="88" t="str">
        <f t="shared" si="24"/>
        <v>"F.S. - FRAIS DE STRUCTURE (7% des C.D.)"</v>
      </c>
      <c r="H124" s="8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25">
      <c r="B125" t="e">
        <f t="shared" ca="1" si="23"/>
        <v>#N/A</v>
      </c>
      <c r="D125" s="87"/>
      <c r="E125" s="88" t="s">
        <v>16</v>
      </c>
      <c r="F125" s="88" t="s">
        <v>17</v>
      </c>
      <c r="G125" s="88" t="str">
        <f t="shared" si="24"/>
        <v>"C.A. - COÛTS D'ADMINISTRATION"</v>
      </c>
      <c r="H125" s="8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25">
      <c r="B126" t="e">
        <f t="shared" ca="1" si="23"/>
        <v>#N/A</v>
      </c>
      <c r="D126" s="87"/>
      <c r="E126" s="88" t="s">
        <v>18</v>
      </c>
      <c r="F126" s="88" t="s">
        <v>676</v>
      </c>
      <c r="G126" s="88" t="str">
        <f t="shared" si="24"/>
        <v>"SUBSIDE OCTROYÉ"</v>
      </c>
      <c r="H126" s="8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25">
      <c r="B127" t="e">
        <f t="shared" ref="B127:B131" ca="1" si="34">_xlfn.FORMULATEXT(D127)</f>
        <v>#N/A</v>
      </c>
      <c r="D127" s="87"/>
      <c r="E127" s="88" t="s">
        <v>20</v>
      </c>
      <c r="F127" s="88" t="s">
        <v>677</v>
      </c>
      <c r="G127" s="88" t="str">
        <f t="shared" ref="G127:G131" si="35">CHAR(34)&amp;E127&amp;CHAR(34)</f>
        <v>"TRANCHE 1"</v>
      </c>
      <c r="H127" s="8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25">
      <c r="B128" t="e">
        <f t="shared" ca="1" si="34"/>
        <v>#N/A</v>
      </c>
      <c r="D128" s="87"/>
      <c r="E128" s="88" t="s">
        <v>22</v>
      </c>
      <c r="F128" s="88" t="s">
        <v>678</v>
      </c>
      <c r="G128" s="88" t="str">
        <f t="shared" si="35"/>
        <v>"TRANCHE 2"</v>
      </c>
      <c r="H128" s="8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25">
      <c r="B129" t="e">
        <f t="shared" ca="1" si="34"/>
        <v>#N/A</v>
      </c>
      <c r="D129" s="87"/>
      <c r="E129" s="88" t="s">
        <v>24</v>
      </c>
      <c r="F129" s="88" t="s">
        <v>679</v>
      </c>
      <c r="G129" s="88" t="str">
        <f t="shared" si="35"/>
        <v>"TRANCHE 3"</v>
      </c>
      <c r="H129" s="8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25">
      <c r="B130" t="e">
        <f t="shared" ca="1" si="34"/>
        <v>#N/A</v>
      </c>
      <c r="D130" s="87"/>
      <c r="E130" s="88" t="s">
        <v>26</v>
      </c>
      <c r="F130" s="88" t="s">
        <v>680</v>
      </c>
      <c r="G130" s="88" t="str">
        <f t="shared" si="35"/>
        <v>"TRANCHE 4"</v>
      </c>
      <c r="H130" s="8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25">
      <c r="B131" t="e">
        <f t="shared" ca="1" si="34"/>
        <v>#N/A</v>
      </c>
      <c r="D131" s="87"/>
      <c r="E131" s="88" t="s">
        <v>28</v>
      </c>
      <c r="F131" s="88" t="s">
        <v>681</v>
      </c>
      <c r="G131" s="88" t="str">
        <f t="shared" si="35"/>
        <v>"TRANCHE 5"</v>
      </c>
      <c r="H131" s="8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25">
      <c r="B132" t="e">
        <f ca="1">_xlfn.FORMULATEXT(D132)</f>
        <v>#N/A</v>
      </c>
      <c r="D132" s="87"/>
      <c r="E132" s="88" t="s">
        <v>6</v>
      </c>
      <c r="F132" s="88" t="s">
        <v>7</v>
      </c>
      <c r="G132" s="88" t="str">
        <f>CHAR(34)&amp;E132&amp;CHAR(34)</f>
        <v>"GRAND TOTAL"</v>
      </c>
      <c r="H132" s="8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25">
      <c r="B133" t="e">
        <f t="shared" ref="B133:B171" ca="1" si="45">_xlfn.FORMULATEXT(D133)</f>
        <v>#N/A</v>
      </c>
      <c r="D133" s="87"/>
      <c r="E133" s="88" t="s">
        <v>87</v>
      </c>
      <c r="F133" s="88" t="str">
        <f>VLOOKUP(Table6[[#This Row],[F]],$E$2:$F$132,2,FALSE)</f>
        <v>RUBRIEKEN</v>
      </c>
      <c r="G133" s="88" t="str">
        <f t="shared" ref="G133:G171" si="46">CHAR(34)&amp;E133&amp;CHAR(34)</f>
        <v>"RUBRIQUES"</v>
      </c>
      <c r="H133" s="8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25">
      <c r="B134" t="e">
        <f t="shared" ca="1" si="45"/>
        <v>#N/A</v>
      </c>
      <c r="D134" s="87"/>
      <c r="E134" s="88" t="s">
        <v>162</v>
      </c>
      <c r="F134" s="88" t="str">
        <f>VLOOKUP(Table6[[#This Row],[F]],$E$2:$F$132,2,FALSE)</f>
        <v>1. TOTAAL PARTNERS</v>
      </c>
      <c r="G134" s="88" t="str">
        <f t="shared" si="46"/>
        <v>"1. TOTAL PARTENAIRES"</v>
      </c>
      <c r="H134" s="8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25">
      <c r="B135" t="e">
        <f t="shared" ca="1" si="45"/>
        <v>#N/A</v>
      </c>
      <c r="D135" s="87"/>
      <c r="E135" s="88" t="s">
        <v>164</v>
      </c>
      <c r="F135" s="88" t="str">
        <f>VLOOKUP(Table6[[#This Row],[F]],$E$2:$F$132,2,FALSE)</f>
        <v>1.1 Investering</v>
      </c>
      <c r="G135" s="88" t="str">
        <f t="shared" si="46"/>
        <v>"1.1 Investissements"</v>
      </c>
      <c r="H135" s="8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25">
      <c r="B136" t="e">
        <f t="shared" ca="1" si="45"/>
        <v>#N/A</v>
      </c>
      <c r="D136" s="87"/>
      <c r="E136" s="88" t="s">
        <v>166</v>
      </c>
      <c r="F136" s="88" t="str">
        <f>VLOOKUP(Table6[[#This Row],[F]],$E$2:$F$132,2,FALSE)</f>
        <v>1.2 Werking</v>
      </c>
      <c r="G136" s="88" t="str">
        <f t="shared" si="46"/>
        <v>"1.2 Fonctionnement"</v>
      </c>
      <c r="H136" s="8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25">
      <c r="B137" t="e">
        <f t="shared" ca="1" si="45"/>
        <v>#N/A</v>
      </c>
      <c r="D137" s="87"/>
      <c r="E137" s="88" t="s">
        <v>168</v>
      </c>
      <c r="F137" s="88" t="str">
        <f>VLOOKUP(Table6[[#This Row],[F]],$E$2:$F$132,2,FALSE)</f>
        <v>1.3 Personeel</v>
      </c>
      <c r="G137" s="88" t="str">
        <f t="shared" si="46"/>
        <v>"1.3 Personnel"</v>
      </c>
      <c r="H137" s="8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25">
      <c r="B138" t="e">
        <f t="shared" ca="1" si="45"/>
        <v>#N/A</v>
      </c>
      <c r="D138" s="87"/>
      <c r="E138" s="88" t="s">
        <v>170</v>
      </c>
      <c r="F138" s="88" t="str">
        <f>VLOOKUP(Table6[[#This Row],[F]],$E$2:$F$132,2,FALSE)</f>
        <v>2. TOTAAL SAMENWERKINGEN</v>
      </c>
      <c r="G138" s="88" t="str">
        <f t="shared" si="46"/>
        <v>"2. TOTAL COLLABORATIONS"</v>
      </c>
      <c r="H138" s="8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25">
      <c r="B139" t="e">
        <f t="shared" ca="1" si="45"/>
        <v>#N/A</v>
      </c>
      <c r="D139" s="87"/>
      <c r="E139" s="88" t="s">
        <v>172</v>
      </c>
      <c r="F139" s="88" t="str">
        <f>VLOOKUP(Table6[[#This Row],[F]],$E$2:$F$132,2,FALSE)</f>
        <v>2.1 Investering</v>
      </c>
      <c r="G139" s="88" t="str">
        <f t="shared" si="46"/>
        <v>"2.1 Investissements"</v>
      </c>
      <c r="H139" s="8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25">
      <c r="B140" t="e">
        <f t="shared" ca="1" si="45"/>
        <v>#N/A</v>
      </c>
      <c r="D140" s="87"/>
      <c r="E140" s="88" t="s">
        <v>174</v>
      </c>
      <c r="F140" s="88" t="str">
        <f>VLOOKUP(Table6[[#This Row],[F]],$E$2:$F$132,2,FALSE)</f>
        <v>2.2 Werking</v>
      </c>
      <c r="G140" s="88" t="str">
        <f t="shared" si="46"/>
        <v>"2.2 Fonctionnement"</v>
      </c>
      <c r="H140" s="8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25">
      <c r="B141" t="e">
        <f t="shared" ca="1" si="45"/>
        <v>#N/A</v>
      </c>
      <c r="D141" s="87"/>
      <c r="E141" s="88" t="s">
        <v>176</v>
      </c>
      <c r="F141" s="88" t="str">
        <f>VLOOKUP(Table6[[#This Row],[F]],$E$2:$F$132,2,FALSE)</f>
        <v>2.3 Personeel</v>
      </c>
      <c r="G141" s="88" t="str">
        <f t="shared" si="46"/>
        <v>"2.3 Personnel"</v>
      </c>
      <c r="H141" s="8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25">
      <c r="B142" t="e">
        <f t="shared" ca="1" si="45"/>
        <v>#N/A</v>
      </c>
      <c r="D142" s="87"/>
      <c r="E142" s="88" t="s">
        <v>178</v>
      </c>
      <c r="F142" s="88" t="str">
        <f>VLOOKUP(Table6[[#This Row],[F]],$E$2:$F$132,2,FALSE)</f>
        <v>3. TOTAAL LOKAAL KANTOOR</v>
      </c>
      <c r="G142" s="88" t="str">
        <f t="shared" si="46"/>
        <v>"3. TOTAL BUREAU LOCAL"</v>
      </c>
      <c r="H142" s="8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25">
      <c r="B143" t="e">
        <f t="shared" ca="1" si="45"/>
        <v>#N/A</v>
      </c>
      <c r="D143" s="87"/>
      <c r="E143" s="88" t="s">
        <v>109</v>
      </c>
      <c r="F143" s="88" t="str">
        <f>VLOOKUP(Table6[[#This Row],[F]],$E$2:$F$132,2,FALSE)</f>
        <v>3.1 Investering</v>
      </c>
      <c r="G143" s="88" t="str">
        <f t="shared" si="46"/>
        <v>"3.1 Investissements"</v>
      </c>
      <c r="H143" s="8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25">
      <c r="B144" t="e">
        <f t="shared" ca="1" si="45"/>
        <v>#N/A</v>
      </c>
      <c r="D144" s="87"/>
      <c r="E144" s="88" t="s">
        <v>117</v>
      </c>
      <c r="F144" s="88" t="str">
        <f>VLOOKUP(Table6[[#This Row],[F]],$E$2:$F$132,2,FALSE)</f>
        <v>3.2 Werking</v>
      </c>
      <c r="G144" s="88" t="str">
        <f t="shared" si="46"/>
        <v>"3.2 Fonctionnement"</v>
      </c>
      <c r="H144" s="8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25">
      <c r="B145" t="e">
        <f t="shared" ca="1" si="45"/>
        <v>#N/A</v>
      </c>
      <c r="D145" s="87"/>
      <c r="E145" s="88" t="s">
        <v>180</v>
      </c>
      <c r="F145" s="88" t="str">
        <f>VLOOKUP(Table6[[#This Row],[F]],$E$2:$F$132,2,FALSE)</f>
        <v>3.3 Personeel</v>
      </c>
      <c r="G145" s="88" t="str">
        <f t="shared" si="46"/>
        <v>"3.3 Personnel"</v>
      </c>
      <c r="H145" s="8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25">
      <c r="B146" t="e">
        <f t="shared" ca="1" si="45"/>
        <v>#N/A</v>
      </c>
      <c r="D146" s="87"/>
      <c r="E146" s="88" t="s">
        <v>182</v>
      </c>
      <c r="F146" s="88" t="str">
        <f>VLOOKUP(Table6[[#This Row],[F]],$E$2:$F$132,2,FALSE)</f>
        <v>4. TOTAAL HOOFDZETEL</v>
      </c>
      <c r="G146" s="88" t="str">
        <f t="shared" si="46"/>
        <v>"4. TOTAL SIÈGE"</v>
      </c>
      <c r="H146" s="8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25">
      <c r="B147" t="e">
        <f t="shared" ca="1" si="45"/>
        <v>#N/A</v>
      </c>
      <c r="D147" s="87"/>
      <c r="E147" s="88" t="s">
        <v>184</v>
      </c>
      <c r="F147" s="88" t="str">
        <f>VLOOKUP(Table6[[#This Row],[F]],$E$2:$F$132,2,FALSE)</f>
        <v>4.1 Investering</v>
      </c>
      <c r="G147" s="88" t="str">
        <f t="shared" si="46"/>
        <v>"4.1 Investissements"</v>
      </c>
      <c r="H147" s="8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25">
      <c r="B148" t="e">
        <f t="shared" ca="1" si="45"/>
        <v>#N/A</v>
      </c>
      <c r="D148" s="87"/>
      <c r="E148" s="88" t="s">
        <v>186</v>
      </c>
      <c r="F148" s="88" t="str">
        <f>VLOOKUP(Table6[[#This Row],[F]],$E$2:$F$132,2,FALSE)</f>
        <v>4.2 Werking</v>
      </c>
      <c r="G148" s="88" t="str">
        <f t="shared" si="46"/>
        <v>"4.2 Fonctionnement"</v>
      </c>
      <c r="H148" s="8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25">
      <c r="B149" t="e">
        <f t="shared" ca="1" si="45"/>
        <v>#N/A</v>
      </c>
      <c r="D149" s="87"/>
      <c r="E149" s="88" t="s">
        <v>188</v>
      </c>
      <c r="F149" s="88" t="str">
        <f>VLOOKUP(Table6[[#This Row],[F]],$E$2:$F$132,2,FALSE)</f>
        <v>4.3 Personeel</v>
      </c>
      <c r="G149" s="88" t="str">
        <f t="shared" si="46"/>
        <v>"4.3 Personnel"</v>
      </c>
      <c r="H149" s="8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25">
      <c r="B150" t="e">
        <f t="shared" ca="1" si="45"/>
        <v>#N/A</v>
      </c>
      <c r="D150" s="87"/>
      <c r="E150" s="88" t="s">
        <v>682</v>
      </c>
      <c r="F150" s="88" t="s">
        <v>683</v>
      </c>
      <c r="G150" s="88" t="str">
        <f t="shared" si="46"/>
        <v>"TOTAL DES COÛTS OPÉRATIONNELS"</v>
      </c>
      <c r="H150" s="8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25">
      <c r="B151" t="e">
        <f t="shared" ca="1" si="45"/>
        <v>#N/A</v>
      </c>
      <c r="D151" s="87"/>
      <c r="E151" s="88" t="s">
        <v>192</v>
      </c>
      <c r="F151" s="88" t="str">
        <f>VLOOKUP(Table6[[#This Row],[F]],$E$2:$F$132,2,FALSE)</f>
        <v>TOTAAL INVESTERING</v>
      </c>
      <c r="G151" s="88" t="str">
        <f t="shared" si="46"/>
        <v>"TOTAL INVESTISSEMENTS"</v>
      </c>
      <c r="H151" s="8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25">
      <c r="B152" t="e">
        <f t="shared" ca="1" si="45"/>
        <v>#N/A</v>
      </c>
      <c r="D152" s="87"/>
      <c r="E152" s="88" t="s">
        <v>194</v>
      </c>
      <c r="F152" s="88" t="str">
        <f>VLOOKUP(Table6[[#This Row],[F]],$E$2:$F$132,2,FALSE)</f>
        <v>A. Aankoop voertuigen</v>
      </c>
      <c r="G152" s="88" t="str">
        <f t="shared" si="46"/>
        <v>"A. Achat de véhicules"</v>
      </c>
      <c r="H152" s="8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25">
      <c r="B153" t="e">
        <f t="shared" ca="1" si="45"/>
        <v>#N/A</v>
      </c>
      <c r="D153" s="87"/>
      <c r="E153" s="88" t="s">
        <v>196</v>
      </c>
      <c r="F153" s="88" t="str">
        <f>VLOOKUP(Table6[[#This Row],[F]],$E$2:$F$132,2,FALSE)</f>
        <v>B. Meubilair,  ICT</v>
      </c>
      <c r="G153" s="88" t="str">
        <f t="shared" si="46"/>
        <v>"B. Mobilier, ICT"</v>
      </c>
      <c r="H153" s="8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25">
      <c r="B154" t="e">
        <f t="shared" ca="1" si="45"/>
        <v>#N/A</v>
      </c>
      <c r="D154" s="87"/>
      <c r="E154" s="88" t="s">
        <v>605</v>
      </c>
      <c r="F154" s="88" t="str">
        <f>VLOOKUP(Table6[[#This Row],[F]],$E$2:$F$132,2,FALSE)</f>
        <v>C. Andere</v>
      </c>
      <c r="G154" s="88" t="str">
        <f t="shared" si="46"/>
        <v>"C. Autres"</v>
      </c>
      <c r="H154" s="8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25">
      <c r="B155" t="e">
        <f t="shared" ca="1" si="45"/>
        <v>#N/A</v>
      </c>
      <c r="D155" s="87"/>
      <c r="E155" s="88" t="s">
        <v>200</v>
      </c>
      <c r="F155" s="88" t="str">
        <f>VLOOKUP(Table6[[#This Row],[F]],$E$2:$F$132,2,FALSE)</f>
        <v>TOTAAL WERKING</v>
      </c>
      <c r="G155" s="88" t="str">
        <f t="shared" si="46"/>
        <v>"TOTAL FONCTIONNEMENT"</v>
      </c>
      <c r="H155" s="8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25">
      <c r="B156" t="e">
        <f t="shared" ca="1" si="45"/>
        <v>#N/A</v>
      </c>
      <c r="D156" s="87"/>
      <c r="E156" s="88" t="s">
        <v>202</v>
      </c>
      <c r="F156" s="88" t="str">
        <f>VLOOKUP(Table6[[#This Row],[F]],$E$2:$F$132,2,FALSE)</f>
        <v>A. Verplaatsingen</v>
      </c>
      <c r="G156" s="88" t="str">
        <f t="shared" si="46"/>
        <v>"A. Déplacements"</v>
      </c>
      <c r="H156" s="8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25">
      <c r="B157" t="e">
        <f t="shared" ca="1" si="45"/>
        <v>#N/A</v>
      </c>
      <c r="D157" s="87"/>
      <c r="E157" s="88" t="s">
        <v>204</v>
      </c>
      <c r="F157" s="88" t="str">
        <f>VLOOKUP(Table6[[#This Row],[F]],$E$2:$F$132,2,FALSE)</f>
        <v>B. Lokaal kantoor</v>
      </c>
      <c r="G157" s="88" t="str">
        <f t="shared" si="46"/>
        <v>"B. Bureau local"</v>
      </c>
      <c r="H157" s="8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25">
      <c r="B158" t="e">
        <f t="shared" ca="1" si="45"/>
        <v>#N/A</v>
      </c>
      <c r="D158" s="87"/>
      <c r="E158" s="88" t="s">
        <v>605</v>
      </c>
      <c r="F158" s="88" t="str">
        <f>VLOOKUP(Table6[[#This Row],[F]],$E$2:$F$132,2,FALSE)</f>
        <v>C. Andere</v>
      </c>
      <c r="G158" s="88" t="str">
        <f t="shared" si="46"/>
        <v>"C. Autres"</v>
      </c>
      <c r="H158" s="8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25">
      <c r="B159" t="e">
        <f t="shared" ca="1" si="45"/>
        <v>#N/A</v>
      </c>
      <c r="D159" s="87"/>
      <c r="E159" s="88" t="s">
        <v>208</v>
      </c>
      <c r="F159" s="88" t="str">
        <f>VLOOKUP(Table6[[#This Row],[F]],$E$2:$F$132,2,FALSE)</f>
        <v>TOTAAL PERSONEEL</v>
      </c>
      <c r="G159" s="88" t="str">
        <f t="shared" si="46"/>
        <v>"TOTAL PERSONNEL"</v>
      </c>
      <c r="H159" s="8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25">
      <c r="B160" t="e">
        <f t="shared" ca="1" si="45"/>
        <v>#N/A</v>
      </c>
      <c r="D160" s="87"/>
      <c r="E160" s="88" t="s">
        <v>210</v>
      </c>
      <c r="F160" s="88" t="str">
        <f>VLOOKUP(Table6[[#This Row],[F]],$E$2:$F$132,2,FALSE)</f>
        <v xml:space="preserve">A. Salaris hoofdzetel </v>
      </c>
      <c r="G160" s="88" t="str">
        <f t="shared" si="46"/>
        <v>"A. Salaires au siège"</v>
      </c>
      <c r="H160" s="8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25">
      <c r="B161" t="e">
        <f t="shared" ca="1" si="45"/>
        <v>#N/A</v>
      </c>
      <c r="D161" s="87"/>
      <c r="E161" s="88" t="s">
        <v>212</v>
      </c>
      <c r="F161" s="88" t="str">
        <f>VLOOKUP(Table6[[#This Row],[F]],$E$2:$F$132,2,FALSE)</f>
        <v>B. Salaris expats</v>
      </c>
      <c r="G161" s="88" t="str">
        <f t="shared" si="46"/>
        <v>"B. Salaires des expatriés"</v>
      </c>
      <c r="H161" s="8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25">
      <c r="B162" t="e">
        <f t="shared" ca="1" si="45"/>
        <v>#N/A</v>
      </c>
      <c r="D162" s="87"/>
      <c r="E162" s="88" t="s">
        <v>214</v>
      </c>
      <c r="F162" s="88" t="str">
        <f>VLOOKUP(Table6[[#This Row],[F]],$E$2:$F$132,2,FALSE)</f>
        <v>C. Salaris lokaal personeel</v>
      </c>
      <c r="G162" s="88" t="str">
        <f t="shared" si="46"/>
        <v>"C. Salaires du personnel local"</v>
      </c>
      <c r="H162" s="8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25">
      <c r="B163" t="e">
        <f t="shared" ca="1" si="45"/>
        <v>#N/A</v>
      </c>
      <c r="D163" s="87"/>
      <c r="E163" s="88" t="s">
        <v>633</v>
      </c>
      <c r="F163" s="88" t="str">
        <f>VLOOKUP(Table6[[#This Row],[F]],$E$2:$F$132,2,FALSE)</f>
        <v>D. Andere kosten</v>
      </c>
      <c r="G163" s="88" t="str">
        <f t="shared" si="46"/>
        <v>"D. Autres frais"</v>
      </c>
      <c r="H163" s="8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25">
      <c r="B164" t="e">
        <f t="shared" ca="1" si="45"/>
        <v>#N/A</v>
      </c>
      <c r="D164" s="87"/>
      <c r="E164" s="88" t="s">
        <v>157</v>
      </c>
      <c r="F164" s="88" t="str">
        <f>VLOOKUP(Table6[[#This Row],[F]],$E$2:$F$132,2,FALSE)</f>
        <v>Salarissen personeel: brutobedragen met inbegrip van sociale lasten en andere daarmee verband houdende kosten</v>
      </c>
      <c r="G164" s="88" t="str">
        <f t="shared" si="46"/>
        <v>"Salaire du personnel : montants bruts incluant les charges de sécurité sociale et les autres coûts liés"</v>
      </c>
      <c r="H164" s="8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25">
      <c r="B165" t="e">
        <f t="shared" ca="1" si="45"/>
        <v>#N/A</v>
      </c>
      <c r="D165" s="87"/>
      <c r="E165" s="88" t="s">
        <v>684</v>
      </c>
      <c r="F165" s="88" t="s">
        <v>685</v>
      </c>
      <c r="G165" s="88" t="str">
        <f t="shared" si="46"/>
        <v>"TOTAL DES COÛTS OPÉRATIONNELS PAR PAYS"</v>
      </c>
      <c r="H165" s="8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25">
      <c r="B166" t="e">
        <f t="shared" ca="1" si="45"/>
        <v>#N/A</v>
      </c>
      <c r="D166" s="87"/>
      <c r="E166" s="88" t="s">
        <v>223</v>
      </c>
      <c r="F166" s="88" t="str">
        <f>VLOOKUP(Table6[[#This Row],[F]],$E$2:$F$132,2,FALSE)</f>
        <v>SUPRANATIONALE ACTIVITEITEN</v>
      </c>
      <c r="G166" s="88" t="str">
        <f t="shared" si="46"/>
        <v>"ACTIVITÉS SUPRANATIONALES"</v>
      </c>
      <c r="H166" s="8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25">
      <c r="B167" t="e">
        <f t="shared" ca="1" si="45"/>
        <v>#N/A</v>
      </c>
      <c r="D167" s="87"/>
      <c r="E167" s="88" t="s">
        <v>225</v>
      </c>
      <c r="F167" s="88" t="s">
        <v>649</v>
      </c>
      <c r="G167" s="88" t="str">
        <f t="shared" si="46"/>
        <v>"NOM DU PAYS 1"</v>
      </c>
      <c r="H167" s="8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25">
      <c r="B168" t="e">
        <f t="shared" ca="1" si="45"/>
        <v>#N/A</v>
      </c>
      <c r="D168" s="87"/>
      <c r="E168" s="88" t="s">
        <v>227</v>
      </c>
      <c r="F168" s="88" t="s">
        <v>654</v>
      </c>
      <c r="G168" s="88" t="str">
        <f t="shared" si="46"/>
        <v>"NOM DU PAYS 2"</v>
      </c>
      <c r="H168" s="8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25">
      <c r="B169" t="e">
        <f t="shared" ca="1" si="45"/>
        <v>#N/A</v>
      </c>
      <c r="D169" s="87"/>
      <c r="E169" s="88" t="s">
        <v>229</v>
      </c>
      <c r="F169" s="88" t="s">
        <v>659</v>
      </c>
      <c r="G169" s="88" t="str">
        <f t="shared" si="46"/>
        <v>"NOM DU PAYS 3"</v>
      </c>
      <c r="H169" s="8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25">
      <c r="B170" t="e">
        <f t="shared" ca="1" si="45"/>
        <v>#N/A</v>
      </c>
      <c r="D170" s="87"/>
      <c r="E170" s="88" t="s">
        <v>231</v>
      </c>
      <c r="F170" s="88" t="s">
        <v>664</v>
      </c>
      <c r="G170" s="88" t="str">
        <f t="shared" si="46"/>
        <v>"NOM DU PAYS 4"</v>
      </c>
      <c r="H170" s="8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25">
      <c r="B171" t="e">
        <f t="shared" ca="1" si="45"/>
        <v>#N/A</v>
      </c>
      <c r="D171" s="87"/>
      <c r="E171" s="88" t="s">
        <v>668</v>
      </c>
      <c r="F171" s="88" t="s">
        <v>670</v>
      </c>
      <c r="G171" s="88" t="str">
        <f t="shared" si="46"/>
        <v>"NOM DU PAYS 5"</v>
      </c>
      <c r="H171" s="8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25">
      <c r="B172" t="e">
        <f ca="1">_xlfn.FORMULATEXT(D172)</f>
        <v>#N/A</v>
      </c>
      <c r="D172" s="87"/>
      <c r="E172" s="88" t="s">
        <v>686</v>
      </c>
      <c r="F172" s="88" t="s">
        <v>687</v>
      </c>
      <c r="G172" s="88" t="str">
        <f t="shared" ref="G172:H174" si="56">CHAR(34)&amp;E172&amp;CHAR(34)</f>
        <v>"CO - TOTAL DES COÛTS OPÉRATIONNELS POUR LE PROGRAMME"</v>
      </c>
      <c r="H172" s="8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25">
      <c r="B173" t="e">
        <f ca="1">_xlfn.FORMULATEXT(D173)</f>
        <v>#N/A</v>
      </c>
      <c r="D173" s="87"/>
      <c r="E173" s="88" t="s">
        <v>688</v>
      </c>
      <c r="F173" s="88" t="s">
        <v>689</v>
      </c>
      <c r="G173" s="88" t="str">
        <f t="shared" si="56"/>
        <v>"Spécifiez dans cette colonne"</v>
      </c>
      <c r="H173" s="8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25">
      <c r="B174" t="e">
        <f ca="1">_xlfn.FORMULATEXT(D174)</f>
        <v>#N/A</v>
      </c>
      <c r="D174" s="87"/>
      <c r="E174" s="88" t="s">
        <v>690</v>
      </c>
      <c r="F174" s="88" t="s">
        <v>691</v>
      </c>
      <c r="G174" s="88" t="str">
        <f t="shared" si="56"/>
        <v>"Pays"</v>
      </c>
      <c r="H174" s="8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25">
      <c r="K183" t="s">
        <v>692</v>
      </c>
    </row>
    <row r="184" spans="11:11" x14ac:dyDescent="0.25">
      <c r="K184" t="s">
        <v>692</v>
      </c>
    </row>
    <row r="185" spans="11:11" x14ac:dyDescent="0.25">
      <c r="K185" t="s">
        <v>692</v>
      </c>
    </row>
    <row r="186" spans="11:11" x14ac:dyDescent="0.25">
      <c r="K186" t="s">
        <v>692</v>
      </c>
    </row>
    <row r="187" spans="11:11" x14ac:dyDescent="0.25">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6"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72"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6"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6"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zoomScale="214" zoomScaleNormal="214" workbookViewId="0">
      <selection activeCell="I12" sqref="I12"/>
    </sheetView>
  </sheetViews>
  <sheetFormatPr defaultColWidth="0" defaultRowHeight="15" customHeight="1" zeroHeight="1" x14ac:dyDescent="0.25"/>
  <cols>
    <col min="1" max="1" width="1.7109375" customWidth="1"/>
    <col min="2" max="2" width="37.5703125" bestFit="1" customWidth="1"/>
    <col min="3" max="3" width="5.28515625" customWidth="1"/>
    <col min="4" max="9" width="16.7109375" customWidth="1"/>
    <col min="10" max="10" width="1.7109375" customWidth="1"/>
    <col min="11" max="16384" width="11.42578125" hidden="1"/>
  </cols>
  <sheetData>
    <row r="1" spans="2:9" ht="5.0999999999999996" customHeight="1" thickBot="1" x14ac:dyDescent="0.3"/>
    <row r="2" spans="2:9" ht="15.75" thickBot="1" x14ac:dyDescent="0.3">
      <c r="B2" s="226" t="str">
        <f>Prg!C1&amp;" - "&amp;Prg!C2&amp;" - "&amp;IF(lang=1,labels!E119,IF(lang=2,labels!F119,""))</f>
        <v>Oxfam Sol - Oxfam Solidariteit 
Oxfam Solidarité - PROGRAMME 2022-2026 - CALCUL DU SUBSIDE</v>
      </c>
      <c r="C2" s="227"/>
      <c r="D2" s="227"/>
      <c r="E2" s="227"/>
      <c r="F2" s="227"/>
      <c r="G2" s="227"/>
      <c r="H2" s="227"/>
      <c r="I2" s="228"/>
    </row>
    <row r="3" spans="2:9" ht="30" customHeight="1" thickBot="1" x14ac:dyDescent="0.3">
      <c r="B3" s="229"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30"/>
      <c r="D3" s="230"/>
      <c r="E3" s="230"/>
      <c r="F3" s="230"/>
      <c r="G3" s="230"/>
      <c r="H3" s="230"/>
      <c r="I3" s="231"/>
    </row>
    <row r="4" spans="2:9" ht="5.0999999999999996" customHeight="1" x14ac:dyDescent="0.25">
      <c r="C4" s="74"/>
    </row>
    <row r="5" spans="2:9" x14ac:dyDescent="0.25">
      <c r="B5" s="232"/>
      <c r="C5" s="232"/>
      <c r="D5" s="75">
        <v>2022</v>
      </c>
      <c r="E5" s="75">
        <v>2023</v>
      </c>
      <c r="F5" s="75">
        <v>2024</v>
      </c>
      <c r="G5" s="75">
        <v>2025</v>
      </c>
      <c r="H5" s="75">
        <v>2026</v>
      </c>
      <c r="I5" s="75" t="str">
        <f>IF(lang=1,labels!E132,IF(lang=2,labels!F132,""))</f>
        <v>GRAND TOTAL</v>
      </c>
    </row>
    <row r="6" spans="2:9" x14ac:dyDescent="0.25">
      <c r="B6" s="233" t="str">
        <f>IF(lang=1,labels!E121,IF(lang=2,labels!F121,""))</f>
        <v>C.D. - TOTAL COÛTS DIRECTS</v>
      </c>
      <c r="C6" s="233"/>
      <c r="D6" s="94">
        <f ca="1">'T2 - CG-BK'!C4+'T4 - CO-OK'!O26</f>
        <v>6640733.9894085303</v>
      </c>
      <c r="E6" s="94">
        <f ca="1">'T2 - CG-BK'!D4+'T4 - CO-OK'!P26</f>
        <v>7088761.2148520723</v>
      </c>
      <c r="F6" s="94">
        <f ca="1">'T2 - CG-BK'!E4+'T4 - CO-OK'!Q26</f>
        <v>7218970.9677898865</v>
      </c>
      <c r="G6" s="94">
        <f ca="1">'T2 - CG-BK'!F4+'T4 - CO-OK'!R26</f>
        <v>7031365.1715653241</v>
      </c>
      <c r="H6" s="94">
        <f ca="1">'T2 - CG-BK'!G4+'T4 - CO-OK'!S26</f>
        <v>7161575.7400798704</v>
      </c>
      <c r="I6" s="202">
        <f t="shared" ref="I6:I11" ca="1" si="0">SUM(D6:H6)</f>
        <v>35141407.083695687</v>
      </c>
    </row>
    <row r="7" spans="2:9" x14ac:dyDescent="0.25">
      <c r="B7" s="49" t="str">
        <f>IF(lang=1,labels!E122,IF(lang=2,labels!F122,""))</f>
        <v>C.D. - CONTRIBUTION OSC / AI (20% - 0%)</v>
      </c>
      <c r="C7" s="76" t="str">
        <f>IF(Prg!D1="AIIA","0%","20%")</f>
        <v>20%</v>
      </c>
      <c r="D7" s="94">
        <f ca="1">D6*$C$7</f>
        <v>1328146.7978817062</v>
      </c>
      <c r="E7" s="94">
        <f ca="1">E6*$C$7</f>
        <v>1417752.2429704145</v>
      </c>
      <c r="F7" s="94">
        <f ca="1">F6*$C$7</f>
        <v>1443794.1935579774</v>
      </c>
      <c r="G7" s="94">
        <f ca="1">G6*$C$7</f>
        <v>1406273.034313065</v>
      </c>
      <c r="H7" s="94">
        <f ca="1">H6*$C$7</f>
        <v>1432315.1480159741</v>
      </c>
      <c r="I7" s="95">
        <f t="shared" ca="1" si="0"/>
        <v>7028281.4167391369</v>
      </c>
    </row>
    <row r="8" spans="2:9" x14ac:dyDescent="0.25">
      <c r="B8" s="77" t="str">
        <f>IF(lang=1,labels!E123,IF(lang=2,labels!F123,""))</f>
        <v>C.D. - CONTRIBUTION DGD (80% - 100%)</v>
      </c>
      <c r="C8" s="78" t="str">
        <f>IF(Prg!D1="AIIA","100%","80%")</f>
        <v>80%</v>
      </c>
      <c r="D8" s="94">
        <f ca="1">D6*$C$8</f>
        <v>5312587.1915268246</v>
      </c>
      <c r="E8" s="94">
        <f ca="1">E6*$C$8</f>
        <v>5671008.9718816578</v>
      </c>
      <c r="F8" s="94">
        <f ca="1">F6*$C$8</f>
        <v>5775176.7742319098</v>
      </c>
      <c r="G8" s="94">
        <f ca="1">G6*$C$8</f>
        <v>5625092.13725226</v>
      </c>
      <c r="H8" s="94">
        <f ca="1">H6*$C$8</f>
        <v>5729260.5920638964</v>
      </c>
      <c r="I8" s="96">
        <f t="shared" ca="1" si="0"/>
        <v>28113125.666956548</v>
      </c>
    </row>
    <row r="9" spans="2:9" x14ac:dyDescent="0.25">
      <c r="B9" s="79" t="str">
        <f>IF(lang=1,labels!E124,IF(lang=2,labels!F124,""))</f>
        <v>F.S. - FRAIS DE STRUCTURE (7% des C.D.)</v>
      </c>
      <c r="C9" s="80">
        <v>7.0000000000000007E-2</v>
      </c>
      <c r="D9" s="94">
        <f ca="1">IF(AND(Prg!$D1&lt;&gt;"OSCCMO",Prg!$H1&lt;&gt;"struct"),"-",D6*$C$9)</f>
        <v>464851.37925859715</v>
      </c>
      <c r="E9" s="94">
        <f ca="1">IF(AND(Prg!$D1&lt;&gt;"OSCCMO",Prg!$H1&lt;&gt;"struct"),"-",E6*$C$9)</f>
        <v>496213.2850396451</v>
      </c>
      <c r="F9" s="94">
        <f ca="1">IF(AND(Prg!$D1&lt;&gt;"OSCCMO",Prg!$H1&lt;&gt;"struct"),"-",F6*$C$9)</f>
        <v>505327.96774529212</v>
      </c>
      <c r="G9" s="94">
        <f ca="1">IF(AND(Prg!$D1&lt;&gt;"OSCCMO",Prg!$H1&lt;&gt;"struct"),"-",G6*$C$9)</f>
        <v>492195.56200957275</v>
      </c>
      <c r="H9" s="94">
        <f ca="1">IF(AND(Prg!$D1&lt;&gt;"OSCCMO",Prg!$H1&lt;&gt;"struct"),"-",H6*$C$9)</f>
        <v>501310.30180559098</v>
      </c>
      <c r="I9" s="97">
        <f ca="1">IF(AND(Prg!D1&lt;&gt;"OSCCMO",Prg!H1&lt;&gt;"struct"),"-",SUM(D9:H9))</f>
        <v>2459898.4958586982</v>
      </c>
    </row>
    <row r="10" spans="2:9" x14ac:dyDescent="0.25">
      <c r="B10" s="234" t="str">
        <f>IF(lang=1,labels!E125,IF(lang=2,labels!F125,""))</f>
        <v>C.A. - COÛTS D'ADMINISTRATION</v>
      </c>
      <c r="C10" s="234"/>
      <c r="D10" s="94" t="str">
        <f>IF(Prg!D1="OSCCMO", "-",IF(Prg!H1="struct","-",'T3 - CA-AK'!D6))</f>
        <v>-</v>
      </c>
      <c r="E10" s="94" t="str">
        <f>IF(Prg!$D1="OSCCMO","-",IF(Prg!$H1="struct","-",'T3 - CA-AK'!E6))</f>
        <v>-</v>
      </c>
      <c r="F10" s="94" t="str">
        <f>IF(Prg!$D1="OSCCMO","-",IF(Prg!$H1="struct","-",'T3 - CA-AK'!F6))</f>
        <v>-</v>
      </c>
      <c r="G10" s="94" t="str">
        <f>IF(Prg!$D1="OSCCMO","-",IF(Prg!$H1="struct","-",'T3 - CA-AK'!G6))</f>
        <v>-</v>
      </c>
      <c r="H10" s="94" t="str">
        <f>IF(Prg!$D1="OSCCMO","-",IF(Prg!$H1="struct","-",'T3 - CA-AK'!H6))</f>
        <v>-</v>
      </c>
      <c r="I10" s="98" t="str">
        <f>IF(Prg!$D1="OSCCMO","-",IF(Prg!$H1="struct","-",SUM(D10:H10)))</f>
        <v>-</v>
      </c>
    </row>
    <row r="11" spans="2:9" x14ac:dyDescent="0.25">
      <c r="B11" s="225" t="str">
        <f>IF(lang=1,labels!E126,IF(lang=2,labels!F126,""))</f>
        <v>SUBSIDE OCTROYÉ</v>
      </c>
      <c r="C11" s="225"/>
      <c r="D11" s="99">
        <f ca="1">IF($D10="-",D8+D9,D8+D10)</f>
        <v>5777438.5707854219</v>
      </c>
      <c r="E11" s="100">
        <f t="shared" ref="E11:H11" ca="1" si="1">IF($D10="-",E8+E9,E8+E10)</f>
        <v>6167222.2569213025</v>
      </c>
      <c r="F11" s="101">
        <f t="shared" ca="1" si="1"/>
        <v>6280504.7419772018</v>
      </c>
      <c r="G11" s="102">
        <f t="shared" ca="1" si="1"/>
        <v>6117287.699261833</v>
      </c>
      <c r="H11" s="103">
        <f t="shared" ca="1" si="1"/>
        <v>6230570.8938694876</v>
      </c>
      <c r="I11" s="201">
        <f t="shared" ca="1" si="0"/>
        <v>30573024.162815243</v>
      </c>
    </row>
    <row r="12" spans="2:9" x14ac:dyDescent="0.25">
      <c r="C12" s="74"/>
      <c r="D12" s="81" t="str">
        <f>IF(lang=1,labels!E127,IF(lang=2,labels!F127,""))</f>
        <v>TRANCHE 1</v>
      </c>
      <c r="E12" s="82" t="str">
        <f>IF(lang=1,labels!E128,IF(lang=2,labels!F128,""))</f>
        <v>TRANCHE 2</v>
      </c>
      <c r="F12" s="83" t="str">
        <f>IF(lang=1,labels!E129,IF(lang=2,labels!F129,""))</f>
        <v>TRANCHE 3</v>
      </c>
      <c r="G12" s="84" t="str">
        <f>IF(lang=1,labels!E130,IF(lang=2,labels!F130,""))</f>
        <v>TRANCHE 4</v>
      </c>
      <c r="H12" s="85" t="str">
        <f>IF(lang=1,labels!E131,IF(lang=2,labels!F131,""))</f>
        <v>TRANCHE 5</v>
      </c>
    </row>
    <row r="13" spans="2:9" ht="5.0999999999999996" customHeight="1" x14ac:dyDescent="0.2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O9" sqref="O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pane="topRight" activeCell="O59" sqref="O59"/>
      <selection pane="bottomLeft" activeCell="O59" sqref="O59"/>
      <selection pane="bottomRight" activeCell="O59" sqref="O59"/>
    </sheetView>
  </sheetViews>
  <sheetFormatPr defaultColWidth="0" defaultRowHeight="15" zeroHeight="1" x14ac:dyDescent="0.25"/>
  <cols>
    <col min="1" max="1" width="5" hidden="1" customWidth="1"/>
    <col min="2" max="5" width="2.42578125" customWidth="1"/>
    <col min="6" max="14" width="2.42578125" style="88" customWidth="1"/>
    <col min="15" max="20" width="15.7109375" customWidth="1"/>
    <col min="21" max="21" width="2.42578125" customWidth="1"/>
    <col min="22" max="33" width="0" hidden="1" customWidth="1"/>
    <col min="34" max="16384" width="9.140625" hidden="1"/>
  </cols>
  <sheetData>
    <row r="1" spans="1:33" ht="15" customHeight="1" x14ac:dyDescent="0.25">
      <c r="A1" s="55"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885</v>
      </c>
      <c r="AA1" t="s">
        <v>857</v>
      </c>
      <c r="AC1">
        <v>2</v>
      </c>
      <c r="AD1" t="s">
        <v>886</v>
      </c>
      <c r="AE1" t="str">
        <f>VLOOKUP(AG1,$AC$1:$AD$2,2,FALSE)</f>
        <v>Fjanee</v>
      </c>
      <c r="AG1">
        <f>lang</f>
        <v>1</v>
      </c>
    </row>
    <row r="2" spans="1:33" x14ac:dyDescent="0.25">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887</v>
      </c>
      <c r="AA2" t="s">
        <v>888</v>
      </c>
      <c r="AC2">
        <v>1</v>
      </c>
      <c r="AD2" t="s">
        <v>889</v>
      </c>
    </row>
    <row r="3" spans="1:33" x14ac:dyDescent="0.25">
      <c r="A3" s="4"/>
      <c r="B3" s="6" t="str">
        <f>IF(lang=1,labels!E77,IF(lang=2,labels!F77,"set lang"))</f>
        <v>CSC:</v>
      </c>
      <c r="C3" s="6"/>
      <c r="D3" s="6"/>
      <c r="E3" s="6"/>
      <c r="F3" s="6"/>
      <c r="G3" s="6"/>
      <c r="H3" s="6"/>
      <c r="I3" s="6"/>
      <c r="J3" s="6"/>
      <c r="K3" s="6"/>
      <c r="L3" s="6"/>
      <c r="M3" s="6"/>
      <c r="N3" s="6"/>
      <c r="O3" s="6">
        <f ca="1">VLOOKUP($A$1*1,Prg!$B$7:$H$31,5,FALSE)</f>
        <v>0</v>
      </c>
      <c r="P3" s="152" t="str">
        <f ca="1">IF(AND(OR(LEFT(O2,4)="Regi",LEFT(O2,4)="Glob"),O3="themat"),IF(lang=2,AA3,Z3),"")</f>
        <v/>
      </c>
      <c r="Q3" s="6"/>
      <c r="R3" s="6"/>
      <c r="S3" s="6"/>
      <c r="T3" s="6"/>
      <c r="U3" s="5"/>
      <c r="Z3" t="s">
        <v>890</v>
      </c>
      <c r="AA3" t="s">
        <v>891</v>
      </c>
    </row>
    <row r="4" spans="1:33" ht="15" customHeight="1" x14ac:dyDescent="0.25">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892</v>
      </c>
      <c r="AA4" t="s">
        <v>893</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62" t="str">
        <f>IF(lang=1,labels!E80,IF(lang=2,labels!F80,"set lang"))</f>
        <v>RUBRIQUES</v>
      </c>
      <c r="C7" s="297"/>
      <c r="D7" s="297"/>
      <c r="E7" s="297"/>
      <c r="F7" s="297"/>
      <c r="G7" s="297"/>
      <c r="H7" s="297"/>
      <c r="I7" s="297"/>
      <c r="J7" s="297"/>
      <c r="K7" s="297"/>
      <c r="L7" s="297"/>
      <c r="M7" s="297"/>
      <c r="N7" s="298"/>
      <c r="O7" s="220">
        <v>2022</v>
      </c>
      <c r="P7" s="220">
        <v>2023</v>
      </c>
      <c r="Q7" s="220">
        <v>2024</v>
      </c>
      <c r="R7" s="220">
        <v>2025</v>
      </c>
      <c r="S7" s="220">
        <v>2026</v>
      </c>
      <c r="T7" s="183" t="s">
        <v>78</v>
      </c>
      <c r="U7" s="5"/>
    </row>
    <row r="8" spans="1:33" x14ac:dyDescent="0.25">
      <c r="A8" s="4" t="s">
        <v>753</v>
      </c>
      <c r="B8" s="253" t="str">
        <f>IF(lang=1,labels!E81,IF(lang=2,labels!F81,"set lang"))</f>
        <v>1. TOTAL PARTENAIRES</v>
      </c>
      <c r="C8" s="299"/>
      <c r="D8" s="299"/>
      <c r="E8" s="299"/>
      <c r="F8" s="299"/>
      <c r="G8" s="299"/>
      <c r="H8" s="299"/>
      <c r="I8" s="299"/>
      <c r="J8" s="299"/>
      <c r="K8" s="299"/>
      <c r="L8" s="299"/>
      <c r="M8" s="299"/>
      <c r="N8" s="300"/>
      <c r="O8" s="153">
        <f t="shared" ref="O8:T8" si="0">SUM(O9:O11)</f>
        <v>0</v>
      </c>
      <c r="P8" s="153">
        <f t="shared" si="0"/>
        <v>0</v>
      </c>
      <c r="Q8" s="153">
        <f t="shared" si="0"/>
        <v>0</v>
      </c>
      <c r="R8" s="153">
        <f t="shared" si="0"/>
        <v>0</v>
      </c>
      <c r="S8" s="153">
        <f t="shared" si="0"/>
        <v>0</v>
      </c>
      <c r="T8" s="164">
        <f t="shared" si="0"/>
        <v>0</v>
      </c>
      <c r="U8" s="5"/>
    </row>
    <row r="9" spans="1:33" x14ac:dyDescent="0.25">
      <c r="A9" s="4" t="s">
        <v>754</v>
      </c>
      <c r="B9" s="250" t="str">
        <f>IF(lang=1,labels!E82,IF(lang=2,labels!F82,"set lang"))</f>
        <v>1.1 Investissements</v>
      </c>
      <c r="C9" s="295"/>
      <c r="D9" s="295"/>
      <c r="E9" s="295"/>
      <c r="F9" s="295"/>
      <c r="G9" s="295"/>
      <c r="H9" s="295"/>
      <c r="I9" s="295"/>
      <c r="J9" s="295"/>
      <c r="K9" s="295"/>
      <c r="L9" s="295"/>
      <c r="M9" s="295"/>
      <c r="N9" s="296"/>
      <c r="O9" s="154"/>
      <c r="P9" s="155"/>
      <c r="Q9" s="155"/>
      <c r="R9" s="155"/>
      <c r="S9" s="155"/>
      <c r="T9" s="166">
        <f>SUM(O9:S9)</f>
        <v>0</v>
      </c>
      <c r="U9" s="5"/>
    </row>
    <row r="10" spans="1:33" x14ac:dyDescent="0.25">
      <c r="A10" s="4" t="s">
        <v>755</v>
      </c>
      <c r="B10" s="250" t="str">
        <f>IF(lang=1,labels!E83,IF(lang=2,labels!F83,"set lang"))</f>
        <v>1.2 Fonctionnement</v>
      </c>
      <c r="C10" s="295"/>
      <c r="D10" s="295"/>
      <c r="E10" s="295"/>
      <c r="F10" s="295"/>
      <c r="G10" s="295"/>
      <c r="H10" s="295"/>
      <c r="I10" s="295"/>
      <c r="J10" s="295"/>
      <c r="K10" s="295"/>
      <c r="L10" s="295"/>
      <c r="M10" s="295"/>
      <c r="N10" s="296"/>
      <c r="O10" s="155"/>
      <c r="P10" s="155"/>
      <c r="Q10" s="155"/>
      <c r="R10" s="155"/>
      <c r="S10" s="155"/>
      <c r="T10" s="166">
        <f>SUM(O10:S10)</f>
        <v>0</v>
      </c>
      <c r="U10" s="5"/>
    </row>
    <row r="11" spans="1:33" x14ac:dyDescent="0.25">
      <c r="A11" s="4" t="s">
        <v>756</v>
      </c>
      <c r="B11" s="250" t="str">
        <f>IF(lang=1,labels!E84,IF(lang=2,labels!F84,"set lang"))</f>
        <v>1.3 Personnel</v>
      </c>
      <c r="C11" s="295"/>
      <c r="D11" s="295"/>
      <c r="E11" s="295"/>
      <c r="F11" s="295"/>
      <c r="G11" s="295"/>
      <c r="H11" s="295"/>
      <c r="I11" s="295"/>
      <c r="J11" s="295"/>
      <c r="K11" s="295"/>
      <c r="L11" s="295"/>
      <c r="M11" s="295"/>
      <c r="N11" s="296"/>
      <c r="O11" s="155"/>
      <c r="P11" s="155"/>
      <c r="Q11" s="155"/>
      <c r="R11" s="155"/>
      <c r="S11" s="155"/>
      <c r="T11" s="166">
        <f>SUM(O11:S11)</f>
        <v>0</v>
      </c>
      <c r="U11" s="5"/>
    </row>
    <row r="12" spans="1:33" x14ac:dyDescent="0.25">
      <c r="A12" s="4" t="s">
        <v>758</v>
      </c>
      <c r="B12" s="253" t="str">
        <f>IF(lang=1,labels!E85,IF(lang=2,labels!F85,"set lang"))</f>
        <v>2. TOTAL COLLABORATIONS</v>
      </c>
      <c r="C12" s="299"/>
      <c r="D12" s="299"/>
      <c r="E12" s="299"/>
      <c r="F12" s="299"/>
      <c r="G12" s="299"/>
      <c r="H12" s="299"/>
      <c r="I12" s="299"/>
      <c r="J12" s="299"/>
      <c r="K12" s="299"/>
      <c r="L12" s="299"/>
      <c r="M12" s="299"/>
      <c r="N12" s="300"/>
      <c r="O12" s="153">
        <f t="shared" ref="O12:T12" si="1">SUM(O13:O15)</f>
        <v>0</v>
      </c>
      <c r="P12" s="153">
        <f t="shared" si="1"/>
        <v>0</v>
      </c>
      <c r="Q12" s="153">
        <f t="shared" si="1"/>
        <v>0</v>
      </c>
      <c r="R12" s="153">
        <f t="shared" si="1"/>
        <v>0</v>
      </c>
      <c r="S12" s="153">
        <f t="shared" si="1"/>
        <v>0</v>
      </c>
      <c r="T12" s="164">
        <f t="shared" si="1"/>
        <v>0</v>
      </c>
      <c r="U12" s="5"/>
    </row>
    <row r="13" spans="1:33" x14ac:dyDescent="0.25">
      <c r="A13" s="4" t="s">
        <v>759</v>
      </c>
      <c r="B13" s="250" t="str">
        <f>IF(lang=1,labels!E86,IF(lang=2,labels!F86,"set lang"))</f>
        <v>2.1 Investissements</v>
      </c>
      <c r="C13" s="295"/>
      <c r="D13" s="295"/>
      <c r="E13" s="295"/>
      <c r="F13" s="295"/>
      <c r="G13" s="295"/>
      <c r="H13" s="295"/>
      <c r="I13" s="295"/>
      <c r="J13" s="295"/>
      <c r="K13" s="295"/>
      <c r="L13" s="295"/>
      <c r="M13" s="295"/>
      <c r="N13" s="296"/>
      <c r="O13" s="154"/>
      <c r="P13" s="155"/>
      <c r="Q13" s="155"/>
      <c r="R13" s="155"/>
      <c r="S13" s="155"/>
      <c r="T13" s="166">
        <f>SUM(O13:S13)</f>
        <v>0</v>
      </c>
      <c r="U13" s="5"/>
    </row>
    <row r="14" spans="1:33" x14ac:dyDescent="0.25">
      <c r="A14" s="4" t="s">
        <v>760</v>
      </c>
      <c r="B14" s="250" t="str">
        <f>IF(lang=1,labels!E87,IF(lang=2,labels!F87,"set lang"))</f>
        <v>2.2 Fonctionnement</v>
      </c>
      <c r="C14" s="295"/>
      <c r="D14" s="295"/>
      <c r="E14" s="295"/>
      <c r="F14" s="295"/>
      <c r="G14" s="295"/>
      <c r="H14" s="295"/>
      <c r="I14" s="295"/>
      <c r="J14" s="295"/>
      <c r="K14" s="295"/>
      <c r="L14" s="295"/>
      <c r="M14" s="295"/>
      <c r="N14" s="296"/>
      <c r="O14" s="155"/>
      <c r="P14" s="155"/>
      <c r="Q14" s="155"/>
      <c r="R14" s="155"/>
      <c r="S14" s="155"/>
      <c r="T14" s="166">
        <f>SUM(O14:S14)</f>
        <v>0</v>
      </c>
      <c r="U14" s="5"/>
    </row>
    <row r="15" spans="1:33" x14ac:dyDescent="0.25">
      <c r="A15" s="4" t="s">
        <v>761</v>
      </c>
      <c r="B15" s="250" t="str">
        <f>IF(lang=1,labels!E88,IF(lang=2,labels!F88,"set lang"))</f>
        <v>2.3 Personnel</v>
      </c>
      <c r="C15" s="295"/>
      <c r="D15" s="295"/>
      <c r="E15" s="295"/>
      <c r="F15" s="295"/>
      <c r="G15" s="295"/>
      <c r="H15" s="295"/>
      <c r="I15" s="295"/>
      <c r="J15" s="295"/>
      <c r="K15" s="295"/>
      <c r="L15" s="295"/>
      <c r="M15" s="295"/>
      <c r="N15" s="296"/>
      <c r="O15" s="155"/>
      <c r="P15" s="155"/>
      <c r="Q15" s="155"/>
      <c r="R15" s="155"/>
      <c r="S15" s="155"/>
      <c r="T15" s="166">
        <f>SUM(O15:S15)</f>
        <v>0</v>
      </c>
      <c r="U15" s="5"/>
    </row>
    <row r="16" spans="1:33" x14ac:dyDescent="0.25">
      <c r="A16" s="4" t="s">
        <v>763</v>
      </c>
      <c r="B16" s="253" t="str">
        <f>IF(lang=1,labels!E89,IF(lang=2,labels!F89,"set lang"))</f>
        <v>3. TOTAL BUREAU LOCAL</v>
      </c>
      <c r="C16" s="299"/>
      <c r="D16" s="299"/>
      <c r="E16" s="299"/>
      <c r="F16" s="299"/>
      <c r="G16" s="299"/>
      <c r="H16" s="299"/>
      <c r="I16" s="299"/>
      <c r="J16" s="299"/>
      <c r="K16" s="299"/>
      <c r="L16" s="299"/>
      <c r="M16" s="299"/>
      <c r="N16" s="300"/>
      <c r="O16" s="153">
        <f t="shared" ref="O16:T16" si="2">SUM(O17:O19)</f>
        <v>0</v>
      </c>
      <c r="P16" s="153">
        <f t="shared" si="2"/>
        <v>0</v>
      </c>
      <c r="Q16" s="153">
        <f t="shared" si="2"/>
        <v>0</v>
      </c>
      <c r="R16" s="153">
        <f t="shared" si="2"/>
        <v>0</v>
      </c>
      <c r="S16" s="153">
        <f t="shared" si="2"/>
        <v>0</v>
      </c>
      <c r="T16" s="164">
        <f t="shared" si="2"/>
        <v>0</v>
      </c>
      <c r="U16" s="5"/>
    </row>
    <row r="17" spans="1:21" x14ac:dyDescent="0.25">
      <c r="A17" s="4" t="s">
        <v>764</v>
      </c>
      <c r="B17" s="250" t="str">
        <f>IF(lang=1,labels!E90,IF(lang=2,labels!F90,"set lang"))</f>
        <v>3.1 Investissements</v>
      </c>
      <c r="C17" s="295"/>
      <c r="D17" s="295"/>
      <c r="E17" s="295"/>
      <c r="F17" s="295"/>
      <c r="G17" s="295"/>
      <c r="H17" s="295"/>
      <c r="I17" s="295"/>
      <c r="J17" s="295"/>
      <c r="K17" s="295"/>
      <c r="L17" s="295"/>
      <c r="M17" s="295"/>
      <c r="N17" s="296"/>
      <c r="O17" s="154"/>
      <c r="P17" s="155"/>
      <c r="Q17" s="155"/>
      <c r="R17" s="155"/>
      <c r="S17" s="155"/>
      <c r="T17" s="166">
        <f>SUM(O17:S17)</f>
        <v>0</v>
      </c>
      <c r="U17" s="5"/>
    </row>
    <row r="18" spans="1:21" x14ac:dyDescent="0.25">
      <c r="A18" s="4" t="s">
        <v>765</v>
      </c>
      <c r="B18" s="250" t="str">
        <f>IF(lang=1,labels!E91,IF(lang=2,labels!F91,"set lang"))</f>
        <v>3.2 Fonctionnement</v>
      </c>
      <c r="C18" s="295"/>
      <c r="D18" s="295"/>
      <c r="E18" s="295"/>
      <c r="F18" s="295"/>
      <c r="G18" s="295"/>
      <c r="H18" s="295"/>
      <c r="I18" s="295"/>
      <c r="J18" s="295"/>
      <c r="K18" s="295"/>
      <c r="L18" s="295"/>
      <c r="M18" s="295"/>
      <c r="N18" s="296"/>
      <c r="O18" s="155"/>
      <c r="P18" s="155"/>
      <c r="Q18" s="155"/>
      <c r="R18" s="155"/>
      <c r="S18" s="155"/>
      <c r="T18" s="166">
        <f>SUM(O18:S18)</f>
        <v>0</v>
      </c>
      <c r="U18" s="5"/>
    </row>
    <row r="19" spans="1:21" x14ac:dyDescent="0.25">
      <c r="A19" s="4" t="s">
        <v>766</v>
      </c>
      <c r="B19" s="250" t="str">
        <f>IF(lang=1,labels!E92,IF(lang=2,labels!F92,"set lang"))</f>
        <v>3.3 Personnel</v>
      </c>
      <c r="C19" s="295"/>
      <c r="D19" s="295"/>
      <c r="E19" s="295"/>
      <c r="F19" s="295"/>
      <c r="G19" s="295"/>
      <c r="H19" s="295"/>
      <c r="I19" s="295"/>
      <c r="J19" s="295"/>
      <c r="K19" s="295"/>
      <c r="L19" s="295"/>
      <c r="M19" s="295"/>
      <c r="N19" s="296"/>
      <c r="O19" s="155"/>
      <c r="P19" s="155"/>
      <c r="Q19" s="155"/>
      <c r="R19" s="155"/>
      <c r="S19" s="155"/>
      <c r="T19" s="166">
        <f>SUM(O19:S19)</f>
        <v>0</v>
      </c>
      <c r="U19" s="5"/>
    </row>
    <row r="20" spans="1:21" x14ac:dyDescent="0.25">
      <c r="A20" s="4" t="s">
        <v>768</v>
      </c>
      <c r="B20" s="253" t="str">
        <f>IF(lang=1,labels!E93,IF(lang=2,labels!F93,"set lang"))</f>
        <v>4. TOTAL SIÈGE</v>
      </c>
      <c r="C20" s="299"/>
      <c r="D20" s="299"/>
      <c r="E20" s="299"/>
      <c r="F20" s="299"/>
      <c r="G20" s="299"/>
      <c r="H20" s="299"/>
      <c r="I20" s="299"/>
      <c r="J20" s="299"/>
      <c r="K20" s="299"/>
      <c r="L20" s="299"/>
      <c r="M20" s="299"/>
      <c r="N20" s="300"/>
      <c r="O20" s="153">
        <f t="shared" ref="O20:T20" si="3">SUM(O21:O23)</f>
        <v>0</v>
      </c>
      <c r="P20" s="153">
        <f t="shared" si="3"/>
        <v>0</v>
      </c>
      <c r="Q20" s="153">
        <f t="shared" si="3"/>
        <v>0</v>
      </c>
      <c r="R20" s="153">
        <f t="shared" si="3"/>
        <v>0</v>
      </c>
      <c r="S20" s="153">
        <f t="shared" si="3"/>
        <v>0</v>
      </c>
      <c r="T20" s="164">
        <f t="shared" si="3"/>
        <v>0</v>
      </c>
      <c r="U20" s="5"/>
    </row>
    <row r="21" spans="1:21" x14ac:dyDescent="0.25">
      <c r="A21" s="4" t="s">
        <v>769</v>
      </c>
      <c r="B21" s="250" t="str">
        <f>IF(lang=1,labels!E94,IF(lang=2,labels!F94,"set lang"))</f>
        <v>4.1 Investissements</v>
      </c>
      <c r="C21" s="295"/>
      <c r="D21" s="295"/>
      <c r="E21" s="295"/>
      <c r="F21" s="295"/>
      <c r="G21" s="295"/>
      <c r="H21" s="295"/>
      <c r="I21" s="295"/>
      <c r="J21" s="295"/>
      <c r="K21" s="295"/>
      <c r="L21" s="295"/>
      <c r="M21" s="295"/>
      <c r="N21" s="296"/>
      <c r="O21" s="154"/>
      <c r="P21" s="155"/>
      <c r="Q21" s="155"/>
      <c r="R21" s="155"/>
      <c r="S21" s="155"/>
      <c r="T21" s="166">
        <f>SUM(O21:S21)</f>
        <v>0</v>
      </c>
      <c r="U21" s="5"/>
    </row>
    <row r="22" spans="1:21" x14ac:dyDescent="0.25">
      <c r="A22" s="4" t="s">
        <v>770</v>
      </c>
      <c r="B22" s="250" t="str">
        <f>IF(lang=1,labels!E95,IF(lang=2,labels!F95,"set lang"))</f>
        <v>4.2 Fonctionnement</v>
      </c>
      <c r="C22" s="295"/>
      <c r="D22" s="295"/>
      <c r="E22" s="295"/>
      <c r="F22" s="295"/>
      <c r="G22" s="295"/>
      <c r="H22" s="295"/>
      <c r="I22" s="295"/>
      <c r="J22" s="295"/>
      <c r="K22" s="295"/>
      <c r="L22" s="295"/>
      <c r="M22" s="295"/>
      <c r="N22" s="296"/>
      <c r="O22" s="155"/>
      <c r="P22" s="155"/>
      <c r="Q22" s="155"/>
      <c r="R22" s="155"/>
      <c r="S22" s="155"/>
      <c r="T22" s="166">
        <f>SUM(O22:S22)</f>
        <v>0</v>
      </c>
      <c r="U22" s="5"/>
    </row>
    <row r="23" spans="1:21" ht="15.75" thickBot="1" x14ac:dyDescent="0.3">
      <c r="A23" s="4" t="s">
        <v>771</v>
      </c>
      <c r="B23" s="244" t="str">
        <f>IF(lang=1,labels!E96,IF(lang=2,labels!F96,"set lang"))</f>
        <v>4.3 Personnel</v>
      </c>
      <c r="C23" s="304"/>
      <c r="D23" s="304"/>
      <c r="E23" s="304"/>
      <c r="F23" s="304"/>
      <c r="G23" s="304"/>
      <c r="H23" s="304"/>
      <c r="I23" s="304"/>
      <c r="J23" s="304"/>
      <c r="K23" s="304"/>
      <c r="L23" s="304"/>
      <c r="M23" s="304"/>
      <c r="N23" s="305"/>
      <c r="O23" s="156"/>
      <c r="P23" s="156"/>
      <c r="Q23" s="156"/>
      <c r="R23" s="156"/>
      <c r="S23" s="156"/>
      <c r="T23" s="166">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06" t="str">
        <f>IF(lang=1,labels!E97,IF(lang=2,labels!F97,"set lang"))</f>
        <v>TOTAL DES COÛTS OPÉRATIONNELS POUR L'OUTCOME</v>
      </c>
      <c r="C25" s="307"/>
      <c r="D25" s="307"/>
      <c r="E25" s="307"/>
      <c r="F25" s="307"/>
      <c r="G25" s="307"/>
      <c r="H25" s="307"/>
      <c r="I25" s="307"/>
      <c r="J25" s="307"/>
      <c r="K25" s="307"/>
      <c r="L25" s="307"/>
      <c r="M25" s="307"/>
      <c r="N25" s="308"/>
      <c r="O25" s="220">
        <v>2022</v>
      </c>
      <c r="P25" s="220">
        <v>2023</v>
      </c>
      <c r="Q25" s="220">
        <v>2024</v>
      </c>
      <c r="R25" s="220">
        <v>2025</v>
      </c>
      <c r="S25" s="220">
        <v>2026</v>
      </c>
      <c r="T25" s="183" t="s">
        <v>78</v>
      </c>
      <c r="U25" s="5"/>
    </row>
    <row r="26" spans="1:21" x14ac:dyDescent="0.25">
      <c r="A26" s="4" t="s">
        <v>773</v>
      </c>
      <c r="B26" s="309"/>
      <c r="C26" s="310"/>
      <c r="D26" s="310"/>
      <c r="E26" s="310"/>
      <c r="F26" s="310"/>
      <c r="G26" s="310"/>
      <c r="H26" s="310"/>
      <c r="I26" s="310"/>
      <c r="J26" s="310"/>
      <c r="K26" s="310"/>
      <c r="L26" s="310"/>
      <c r="M26" s="310"/>
      <c r="N26" s="311"/>
      <c r="O26" s="153">
        <f>O28+O33+O38</f>
        <v>0</v>
      </c>
      <c r="P26" s="153">
        <f t="shared" ref="P26:S26" si="4">P28+P33+P38</f>
        <v>0</v>
      </c>
      <c r="Q26" s="153">
        <f t="shared" si="4"/>
        <v>0</v>
      </c>
      <c r="R26" s="153">
        <f t="shared" si="4"/>
        <v>0</v>
      </c>
      <c r="S26" s="153">
        <f t="shared" si="4"/>
        <v>0</v>
      </c>
      <c r="T26" s="164">
        <f>SUM(O26:S26)</f>
        <v>0</v>
      </c>
      <c r="U26" s="5"/>
    </row>
    <row r="27" spans="1:21" ht="15.75" x14ac:dyDescent="0.25">
      <c r="A27" s="4"/>
      <c r="B27" s="301" t="str">
        <f>IF(OR(ABS(O27)&gt;1,ABS(P27)&gt;1,ABS(Q27)&gt;1,ABS(R27)&gt;1,ABS(S27)&gt;1,ABS(T27)&gt;1),"Attention aux différences !","")</f>
        <v/>
      </c>
      <c r="C27" s="302"/>
      <c r="D27" s="302"/>
      <c r="E27" s="302"/>
      <c r="F27" s="302"/>
      <c r="G27" s="302"/>
      <c r="H27" s="302"/>
      <c r="I27" s="302"/>
      <c r="J27" s="302"/>
      <c r="K27" s="302"/>
      <c r="L27" s="302"/>
      <c r="M27" s="302"/>
      <c r="N27" s="303"/>
      <c r="O27" s="167">
        <f t="shared" ref="O27:S27" si="5">O28-(O9+O13+O17+O21)</f>
        <v>0</v>
      </c>
      <c r="P27" s="167">
        <f t="shared" si="5"/>
        <v>0</v>
      </c>
      <c r="Q27" s="167">
        <f t="shared" si="5"/>
        <v>0</v>
      </c>
      <c r="R27" s="167">
        <f t="shared" si="5"/>
        <v>0</v>
      </c>
      <c r="S27" s="167">
        <f t="shared" si="5"/>
        <v>0</v>
      </c>
      <c r="T27" s="166">
        <f>T28-(T9+T13+T17+T21)</f>
        <v>0</v>
      </c>
      <c r="U27" s="5"/>
    </row>
    <row r="28" spans="1:21" x14ac:dyDescent="0.25">
      <c r="A28" s="4" t="s">
        <v>709</v>
      </c>
      <c r="B28" s="312" t="str">
        <f>IF(lang=1,labels!E98,IF(lang=2,labels!F98,"set lang"))</f>
        <v>TOTAL INVESTISSEMENTS</v>
      </c>
      <c r="C28" s="313"/>
      <c r="D28" s="313"/>
      <c r="E28" s="313"/>
      <c r="F28" s="313"/>
      <c r="G28" s="313"/>
      <c r="H28" s="313"/>
      <c r="I28" s="313"/>
      <c r="J28" s="313"/>
      <c r="K28" s="313"/>
      <c r="L28" s="313"/>
      <c r="M28" s="313"/>
      <c r="N28" s="314"/>
      <c r="O28" s="153">
        <f t="shared" ref="O28:T28" si="6">SUM(O29:O31)</f>
        <v>0</v>
      </c>
      <c r="P28" s="153">
        <f t="shared" si="6"/>
        <v>0</v>
      </c>
      <c r="Q28" s="153">
        <f t="shared" si="6"/>
        <v>0</v>
      </c>
      <c r="R28" s="153">
        <f t="shared" si="6"/>
        <v>0</v>
      </c>
      <c r="S28" s="153">
        <f t="shared" si="6"/>
        <v>0</v>
      </c>
      <c r="T28" s="164">
        <f t="shared" si="6"/>
        <v>0</v>
      </c>
      <c r="U28" s="5"/>
    </row>
    <row r="29" spans="1:21" x14ac:dyDescent="0.25">
      <c r="A29" s="4" t="s">
        <v>774</v>
      </c>
      <c r="B29" s="250" t="str">
        <f>IF(lang=1,labels!E99,IF(lang=2,labels!F99,"set lang"))</f>
        <v>A. Achat de véhicules</v>
      </c>
      <c r="C29" s="295"/>
      <c r="D29" s="295"/>
      <c r="E29" s="295"/>
      <c r="F29" s="295"/>
      <c r="G29" s="295"/>
      <c r="H29" s="295"/>
      <c r="I29" s="295"/>
      <c r="J29" s="295"/>
      <c r="K29" s="295"/>
      <c r="L29" s="295"/>
      <c r="M29" s="295"/>
      <c r="N29" s="296"/>
      <c r="O29" s="154"/>
      <c r="P29" s="155"/>
      <c r="Q29" s="155"/>
      <c r="R29" s="155"/>
      <c r="S29" s="155"/>
      <c r="T29" s="166">
        <f>SUM(O29:S29)</f>
        <v>0</v>
      </c>
      <c r="U29" s="5"/>
    </row>
    <row r="30" spans="1:21" x14ac:dyDescent="0.25">
      <c r="A30" s="4" t="s">
        <v>775</v>
      </c>
      <c r="B30" s="250" t="str">
        <f>IF(lang=1,labels!E100,IF(lang=2,labels!F100,"set lang"))</f>
        <v>B. Mobilier, ICT</v>
      </c>
      <c r="C30" s="295"/>
      <c r="D30" s="295"/>
      <c r="E30" s="295"/>
      <c r="F30" s="295"/>
      <c r="G30" s="295"/>
      <c r="H30" s="295"/>
      <c r="I30" s="295"/>
      <c r="J30" s="295"/>
      <c r="K30" s="295"/>
      <c r="L30" s="295"/>
      <c r="M30" s="295"/>
      <c r="N30" s="296"/>
      <c r="O30" s="155"/>
      <c r="P30" s="155"/>
      <c r="Q30" s="155"/>
      <c r="R30" s="155"/>
      <c r="S30" s="155"/>
      <c r="T30" s="166">
        <f>SUM(O30:S30)</f>
        <v>0</v>
      </c>
      <c r="U30" s="5"/>
    </row>
    <row r="31" spans="1:21" x14ac:dyDescent="0.25">
      <c r="A31" s="4" t="s">
        <v>776</v>
      </c>
      <c r="B31" s="250" t="str">
        <f>IF(lang=1,labels!E101,IF(lang=2,labels!F101,"set lang"))</f>
        <v>C. Autres</v>
      </c>
      <c r="C31" s="295"/>
      <c r="D31" s="295"/>
      <c r="E31" s="295"/>
      <c r="F31" s="295"/>
      <c r="G31" s="295"/>
      <c r="H31" s="295"/>
      <c r="I31" s="295"/>
      <c r="J31" s="295"/>
      <c r="K31" s="295"/>
      <c r="L31" s="295"/>
      <c r="M31" s="295"/>
      <c r="N31" s="296"/>
      <c r="O31" s="155"/>
      <c r="P31" s="155"/>
      <c r="Q31" s="155"/>
      <c r="R31" s="155"/>
      <c r="S31" s="155"/>
      <c r="T31" s="166">
        <f>SUM(O31:S31)</f>
        <v>0</v>
      </c>
      <c r="U31" s="5"/>
    </row>
    <row r="32" spans="1:21" ht="15.75" x14ac:dyDescent="0.25">
      <c r="A32" s="4"/>
      <c r="B32" s="301" t="str">
        <f>IF(OR(ABS(O32)&gt;1,ABS(P32)&gt;1,ABS(Q32)&gt;1,ABS(R32)&gt;1,ABS(S32)&gt;1,ABS(T32)&gt;1),"Attention aux différences !","")</f>
        <v/>
      </c>
      <c r="C32" s="302"/>
      <c r="D32" s="302"/>
      <c r="E32" s="302"/>
      <c r="F32" s="302"/>
      <c r="G32" s="302"/>
      <c r="H32" s="302"/>
      <c r="I32" s="302"/>
      <c r="J32" s="302"/>
      <c r="K32" s="302"/>
      <c r="L32" s="302"/>
      <c r="M32" s="302"/>
      <c r="N32" s="303"/>
      <c r="O32" s="167">
        <f>O33-(O10+O14+O18+O22)</f>
        <v>0</v>
      </c>
      <c r="P32" s="167">
        <f t="shared" ref="P32:T32" si="7">P33-(P10+P14+P18+P22)</f>
        <v>0</v>
      </c>
      <c r="Q32" s="167">
        <f t="shared" si="7"/>
        <v>0</v>
      </c>
      <c r="R32" s="167">
        <f t="shared" si="7"/>
        <v>0</v>
      </c>
      <c r="S32" s="167">
        <f t="shared" si="7"/>
        <v>0</v>
      </c>
      <c r="T32" s="166">
        <f t="shared" si="7"/>
        <v>0</v>
      </c>
      <c r="U32" s="5"/>
    </row>
    <row r="33" spans="1:21" x14ac:dyDescent="0.25">
      <c r="A33" s="4" t="s">
        <v>711</v>
      </c>
      <c r="B33" s="312" t="str">
        <f>IF(lang=1,labels!E102,IF(lang=2,labels!F102,"set lang"))</f>
        <v>TOTAL FONCTIONNEMENT</v>
      </c>
      <c r="C33" s="313"/>
      <c r="D33" s="313"/>
      <c r="E33" s="313"/>
      <c r="F33" s="313"/>
      <c r="G33" s="313"/>
      <c r="H33" s="313"/>
      <c r="I33" s="313"/>
      <c r="J33" s="313"/>
      <c r="K33" s="313"/>
      <c r="L33" s="313"/>
      <c r="M33" s="313"/>
      <c r="N33" s="314"/>
      <c r="O33" s="153">
        <f t="shared" ref="O33:T33" si="8">SUM(O34:O36)</f>
        <v>0</v>
      </c>
      <c r="P33" s="153">
        <f t="shared" si="8"/>
        <v>0</v>
      </c>
      <c r="Q33" s="153">
        <f t="shared" si="8"/>
        <v>0</v>
      </c>
      <c r="R33" s="153">
        <f t="shared" si="8"/>
        <v>0</v>
      </c>
      <c r="S33" s="153">
        <f t="shared" si="8"/>
        <v>0</v>
      </c>
      <c r="T33" s="164">
        <f t="shared" si="8"/>
        <v>0</v>
      </c>
      <c r="U33" s="5"/>
    </row>
    <row r="34" spans="1:21" x14ac:dyDescent="0.25">
      <c r="A34" s="4" t="s">
        <v>777</v>
      </c>
      <c r="B34" s="250" t="str">
        <f>IF(lang=1,labels!E103,IF(lang=2,labels!F103,"set lang"))</f>
        <v>A. Déplacements</v>
      </c>
      <c r="C34" s="295"/>
      <c r="D34" s="295"/>
      <c r="E34" s="295"/>
      <c r="F34" s="295"/>
      <c r="G34" s="295"/>
      <c r="H34" s="295"/>
      <c r="I34" s="295"/>
      <c r="J34" s="295"/>
      <c r="K34" s="295"/>
      <c r="L34" s="295"/>
      <c r="M34" s="295"/>
      <c r="N34" s="296"/>
      <c r="O34" s="154"/>
      <c r="P34" s="155"/>
      <c r="Q34" s="155"/>
      <c r="R34" s="155"/>
      <c r="S34" s="155"/>
      <c r="T34" s="166">
        <f>SUM(O34:S34)</f>
        <v>0</v>
      </c>
      <c r="U34" s="5"/>
    </row>
    <row r="35" spans="1:21" x14ac:dyDescent="0.25">
      <c r="A35" s="4" t="s">
        <v>778</v>
      </c>
      <c r="B35" s="250" t="str">
        <f>IF(lang=1,labels!E104,IF(lang=2,labels!F104,"set lang"))</f>
        <v>B. Bureau local</v>
      </c>
      <c r="C35" s="295"/>
      <c r="D35" s="295"/>
      <c r="E35" s="295"/>
      <c r="F35" s="295"/>
      <c r="G35" s="295"/>
      <c r="H35" s="295"/>
      <c r="I35" s="295"/>
      <c r="J35" s="295"/>
      <c r="K35" s="295"/>
      <c r="L35" s="295"/>
      <c r="M35" s="295"/>
      <c r="N35" s="296"/>
      <c r="O35" s="155"/>
      <c r="P35" s="155"/>
      <c r="Q35" s="155"/>
      <c r="R35" s="155"/>
      <c r="S35" s="155"/>
      <c r="T35" s="166">
        <f>SUM(O35:S35)</f>
        <v>0</v>
      </c>
      <c r="U35" s="5"/>
    </row>
    <row r="36" spans="1:21" x14ac:dyDescent="0.25">
      <c r="A36" s="4" t="s">
        <v>779</v>
      </c>
      <c r="B36" s="250" t="str">
        <f>IF(lang=1,labels!E105,IF(lang=2,labels!F105,"set lang"))</f>
        <v>C. Autres</v>
      </c>
      <c r="C36" s="295"/>
      <c r="D36" s="295"/>
      <c r="E36" s="295"/>
      <c r="F36" s="295"/>
      <c r="G36" s="295"/>
      <c r="H36" s="295"/>
      <c r="I36" s="295"/>
      <c r="J36" s="295"/>
      <c r="K36" s="295"/>
      <c r="L36" s="295"/>
      <c r="M36" s="295"/>
      <c r="N36" s="296"/>
      <c r="O36" s="155"/>
      <c r="P36" s="155"/>
      <c r="Q36" s="155"/>
      <c r="R36" s="155"/>
      <c r="S36" s="155"/>
      <c r="T36" s="166">
        <f>SUM(O36:S36)</f>
        <v>0</v>
      </c>
      <c r="U36" s="5"/>
    </row>
    <row r="37" spans="1:21" ht="15.75" x14ac:dyDescent="0.25">
      <c r="A37" s="4"/>
      <c r="B37" s="301" t="str">
        <f>IF(OR(ABS(O37)&gt;1,ABS(P37)&gt;1,ABS(Q37)&gt;1,ABS(R37)&gt;1,ABS(S37)&gt;1,ABS(T37)&gt;1),"Attention aux différences !","")</f>
        <v/>
      </c>
      <c r="C37" s="302"/>
      <c r="D37" s="302"/>
      <c r="E37" s="302"/>
      <c r="F37" s="302"/>
      <c r="G37" s="302"/>
      <c r="H37" s="302"/>
      <c r="I37" s="302"/>
      <c r="J37" s="302"/>
      <c r="K37" s="302"/>
      <c r="L37" s="302"/>
      <c r="M37" s="302"/>
      <c r="N37" s="303"/>
      <c r="O37" s="167">
        <f>O38-(O11+O15+O19+O23)</f>
        <v>0</v>
      </c>
      <c r="P37" s="167">
        <f t="shared" ref="P37:T37" si="9">P38-(P11+P15+P19+P23)</f>
        <v>0</v>
      </c>
      <c r="Q37" s="167">
        <f t="shared" si="9"/>
        <v>0</v>
      </c>
      <c r="R37" s="167">
        <f t="shared" si="9"/>
        <v>0</v>
      </c>
      <c r="S37" s="167">
        <f t="shared" si="9"/>
        <v>0</v>
      </c>
      <c r="T37" s="166">
        <f t="shared" si="9"/>
        <v>0</v>
      </c>
      <c r="U37" s="5"/>
    </row>
    <row r="38" spans="1:21" x14ac:dyDescent="0.25">
      <c r="A38" s="4" t="s">
        <v>712</v>
      </c>
      <c r="B38" s="312" t="str">
        <f>IF(lang=1,labels!E106,IF(lang=2,labels!F106,"set lang"))</f>
        <v>TOTAL PERSONNEL</v>
      </c>
      <c r="C38" s="313"/>
      <c r="D38" s="313"/>
      <c r="E38" s="313"/>
      <c r="F38" s="313"/>
      <c r="G38" s="313"/>
      <c r="H38" s="313"/>
      <c r="I38" s="313"/>
      <c r="J38" s="313"/>
      <c r="K38" s="313"/>
      <c r="L38" s="313"/>
      <c r="M38" s="313"/>
      <c r="N38" s="314"/>
      <c r="O38" s="153">
        <f t="shared" ref="O38:T38" si="10">SUM(O39:O42)</f>
        <v>0</v>
      </c>
      <c r="P38" s="153">
        <f t="shared" si="10"/>
        <v>0</v>
      </c>
      <c r="Q38" s="153">
        <f t="shared" si="10"/>
        <v>0</v>
      </c>
      <c r="R38" s="153">
        <f t="shared" si="10"/>
        <v>0</v>
      </c>
      <c r="S38" s="153">
        <f t="shared" si="10"/>
        <v>0</v>
      </c>
      <c r="T38" s="153">
        <f t="shared" si="10"/>
        <v>0</v>
      </c>
      <c r="U38" s="5"/>
    </row>
    <row r="39" spans="1:21" x14ac:dyDescent="0.25">
      <c r="A39" s="4" t="s">
        <v>781</v>
      </c>
      <c r="B39" s="250" t="str">
        <f>IF(lang=1,labels!E107,IF(lang=2,labels!F107,"set lang"))</f>
        <v>A. Salaires au siège</v>
      </c>
      <c r="C39" s="295"/>
      <c r="D39" s="295"/>
      <c r="E39" s="295"/>
      <c r="F39" s="295"/>
      <c r="G39" s="295"/>
      <c r="H39" s="295"/>
      <c r="I39" s="295"/>
      <c r="J39" s="295"/>
      <c r="K39" s="295"/>
      <c r="L39" s="295"/>
      <c r="M39" s="295"/>
      <c r="N39" s="296"/>
      <c r="O39" s="154"/>
      <c r="P39" s="155"/>
      <c r="Q39" s="155"/>
      <c r="R39" s="155"/>
      <c r="S39" s="155"/>
      <c r="T39" s="166">
        <f>SUM(O39:S39)</f>
        <v>0</v>
      </c>
      <c r="U39" s="5"/>
    </row>
    <row r="40" spans="1:21" x14ac:dyDescent="0.25">
      <c r="A40" s="4" t="s">
        <v>783</v>
      </c>
      <c r="B40" s="250" t="str">
        <f>IF(lang=1,labels!E108,IF(lang=2,labels!F108,"set lang"))</f>
        <v>B. Salaires des expatriés</v>
      </c>
      <c r="C40" s="295"/>
      <c r="D40" s="295"/>
      <c r="E40" s="295"/>
      <c r="F40" s="295"/>
      <c r="G40" s="295"/>
      <c r="H40" s="295"/>
      <c r="I40" s="295"/>
      <c r="J40" s="295"/>
      <c r="K40" s="295"/>
      <c r="L40" s="295"/>
      <c r="M40" s="295"/>
      <c r="N40" s="296"/>
      <c r="O40" s="154"/>
      <c r="P40" s="155"/>
      <c r="Q40" s="155"/>
      <c r="R40" s="155"/>
      <c r="S40" s="155"/>
      <c r="T40" s="166">
        <f>SUM(O40:S40)</f>
        <v>0</v>
      </c>
      <c r="U40" s="5"/>
    </row>
    <row r="41" spans="1:21" x14ac:dyDescent="0.25">
      <c r="A41" s="4" t="s">
        <v>785</v>
      </c>
      <c r="B41" s="250" t="str">
        <f>IF(lang=1,labels!E109,IF(lang=2,labels!F109,"set lang"))</f>
        <v>C. Salaires du personnel local</v>
      </c>
      <c r="C41" s="295"/>
      <c r="D41" s="295"/>
      <c r="E41" s="295"/>
      <c r="F41" s="295"/>
      <c r="G41" s="295"/>
      <c r="H41" s="295"/>
      <c r="I41" s="295"/>
      <c r="J41" s="295"/>
      <c r="K41" s="295"/>
      <c r="L41" s="295"/>
      <c r="M41" s="295"/>
      <c r="N41" s="296"/>
      <c r="O41" s="155"/>
      <c r="P41" s="155"/>
      <c r="Q41" s="155"/>
      <c r="R41" s="155"/>
      <c r="S41" s="155"/>
      <c r="T41" s="166">
        <f>SUM(O41:S41)</f>
        <v>0</v>
      </c>
      <c r="U41" s="5"/>
    </row>
    <row r="42" spans="1:21" ht="15.75" thickBot="1" x14ac:dyDescent="0.3">
      <c r="A42" s="4" t="s">
        <v>787</v>
      </c>
      <c r="B42" s="244" t="str">
        <f>IF(lang=1,labels!E110,IF(lang=2,labels!F110,"set lang"))</f>
        <v>D. Autres frais</v>
      </c>
      <c r="C42" s="304"/>
      <c r="D42" s="304"/>
      <c r="E42" s="304"/>
      <c r="F42" s="304"/>
      <c r="G42" s="304"/>
      <c r="H42" s="304"/>
      <c r="I42" s="304"/>
      <c r="J42" s="304"/>
      <c r="K42" s="304"/>
      <c r="L42" s="304"/>
      <c r="M42" s="304"/>
      <c r="N42" s="305"/>
      <c r="O42" s="156"/>
      <c r="P42" s="156"/>
      <c r="Q42" s="156"/>
      <c r="R42" s="156"/>
      <c r="S42" s="156"/>
      <c r="T42" s="166">
        <f>SUM(O42:S42)</f>
        <v>0</v>
      </c>
      <c r="U42" s="5"/>
    </row>
    <row r="43" spans="1:21" x14ac:dyDescent="0.25">
      <c r="A43" s="4"/>
      <c r="B43" s="8"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row>
    <row r="44" spans="1:21" x14ac:dyDescent="0.25">
      <c r="A44" s="4"/>
      <c r="B44" s="8"/>
      <c r="C44" s="6"/>
      <c r="D44" s="6"/>
      <c r="E44" s="6"/>
      <c r="F44" s="6"/>
      <c r="G44" s="6"/>
      <c r="H44" s="6"/>
      <c r="I44" s="6"/>
      <c r="J44" s="6"/>
      <c r="K44" s="6"/>
      <c r="L44" s="6"/>
      <c r="M44" s="6"/>
      <c r="N44" s="6"/>
      <c r="O44" s="6"/>
      <c r="P44" s="6"/>
      <c r="Q44" s="6"/>
      <c r="R44" s="6"/>
      <c r="S44" s="6"/>
      <c r="T44" s="6"/>
      <c r="U44" s="14"/>
    </row>
    <row r="45" spans="1:21" hidden="1" x14ac:dyDescent="0.25">
      <c r="A45" s="4"/>
      <c r="B45" s="7" t="s">
        <v>894</v>
      </c>
      <c r="C45" s="260" t="s">
        <v>895</v>
      </c>
      <c r="D45" s="248"/>
      <c r="E45" s="248"/>
      <c r="F45" s="248"/>
      <c r="G45" s="248"/>
      <c r="H45" s="248"/>
      <c r="I45" s="248"/>
      <c r="J45" s="248"/>
      <c r="K45" s="248"/>
      <c r="L45" s="248"/>
      <c r="M45" s="248"/>
      <c r="N45" s="248"/>
      <c r="O45" s="248"/>
      <c r="P45" s="248"/>
      <c r="Q45" s="248"/>
      <c r="R45" s="248"/>
      <c r="S45" s="248"/>
      <c r="T45" s="248"/>
      <c r="U45" s="14"/>
    </row>
    <row r="46" spans="1:21" hidden="1" x14ac:dyDescent="0.25">
      <c r="A46" s="4"/>
      <c r="B46" s="326" t="s">
        <v>896</v>
      </c>
      <c r="C46" s="236"/>
      <c r="D46" s="236"/>
      <c r="E46" s="236"/>
      <c r="F46" s="236"/>
      <c r="G46" s="236"/>
      <c r="H46" s="236"/>
      <c r="I46" s="236"/>
      <c r="J46" s="236"/>
      <c r="K46" s="236"/>
      <c r="L46" s="236"/>
      <c r="M46" s="236"/>
      <c r="N46" s="236"/>
      <c r="O46" s="236"/>
      <c r="P46" s="236"/>
      <c r="Q46" s="236"/>
      <c r="R46" s="236"/>
      <c r="S46" s="236"/>
      <c r="T46" s="236"/>
      <c r="U46" s="14"/>
    </row>
    <row r="47" spans="1:21" hidden="1" x14ac:dyDescent="0.25">
      <c r="A47" s="4"/>
      <c r="B47" s="6"/>
      <c r="C47" s="6"/>
      <c r="D47" s="6"/>
      <c r="E47" s="6"/>
      <c r="F47" s="6"/>
      <c r="G47" s="6"/>
      <c r="H47" s="6"/>
      <c r="I47" s="6"/>
      <c r="J47" s="6"/>
      <c r="K47" s="6"/>
      <c r="L47" s="6"/>
      <c r="M47" s="6"/>
      <c r="N47" s="6"/>
      <c r="O47" s="6"/>
      <c r="P47" s="6"/>
      <c r="Q47" s="6"/>
      <c r="R47" s="6"/>
      <c r="S47" s="6"/>
      <c r="T47" s="6"/>
      <c r="U47" s="14"/>
    </row>
    <row r="48" spans="1:21" hidden="1" x14ac:dyDescent="0.25">
      <c r="A48" s="4"/>
      <c r="B48" s="328" t="s">
        <v>897</v>
      </c>
      <c r="C48" s="248"/>
      <c r="D48" s="248"/>
      <c r="E48" s="248"/>
      <c r="F48" s="248"/>
      <c r="G48" s="248"/>
      <c r="H48" s="248"/>
      <c r="I48" s="248"/>
      <c r="J48" s="248"/>
      <c r="K48" s="248"/>
      <c r="L48" s="248"/>
      <c r="M48" s="248"/>
      <c r="N48" s="248"/>
      <c r="O48" s="248"/>
      <c r="P48" s="248"/>
      <c r="Q48" s="248"/>
      <c r="R48" s="248"/>
      <c r="S48" s="248"/>
      <c r="T48" s="218"/>
      <c r="U48" s="14"/>
    </row>
    <row r="49" spans="1:25" hidden="1" x14ac:dyDescent="0.25">
      <c r="A49" s="4"/>
      <c r="B49" s="326" t="s">
        <v>896</v>
      </c>
      <c r="C49" s="236"/>
      <c r="D49" s="236"/>
      <c r="E49" s="236"/>
      <c r="F49" s="236"/>
      <c r="G49" s="236"/>
      <c r="H49" s="236"/>
      <c r="I49" s="236"/>
      <c r="J49" s="236"/>
      <c r="K49" s="236"/>
      <c r="L49" s="236"/>
      <c r="M49" s="236"/>
      <c r="N49" s="236"/>
      <c r="O49" s="236"/>
      <c r="P49" s="236"/>
      <c r="Q49" s="236"/>
      <c r="R49" s="236"/>
      <c r="S49" s="236"/>
      <c r="T49" s="236"/>
      <c r="U49" s="14"/>
    </row>
    <row r="50" spans="1:25" hidden="1" x14ac:dyDescent="0.25">
      <c r="A50" s="4"/>
      <c r="B50" s="6"/>
      <c r="C50" s="6"/>
      <c r="D50" s="6"/>
      <c r="E50" s="6"/>
      <c r="F50" s="6"/>
      <c r="G50" s="6"/>
      <c r="H50" s="6"/>
      <c r="I50" s="6"/>
      <c r="J50" s="6"/>
      <c r="K50" s="6"/>
      <c r="L50" s="6"/>
      <c r="M50" s="6"/>
      <c r="N50" s="6"/>
      <c r="O50" s="6"/>
      <c r="P50" s="6"/>
      <c r="Q50" s="6"/>
      <c r="R50" s="6"/>
      <c r="S50" s="6"/>
      <c r="T50" s="6"/>
      <c r="U50" s="14"/>
    </row>
    <row r="51" spans="1:25" hidden="1" x14ac:dyDescent="0.25">
      <c r="A51" s="4"/>
      <c r="B51" s="327" t="s">
        <v>898</v>
      </c>
      <c r="C51" s="248"/>
      <c r="D51" s="248"/>
      <c r="E51" s="248"/>
      <c r="F51" s="248"/>
      <c r="G51" s="248"/>
      <c r="H51" s="248"/>
      <c r="I51" s="248"/>
      <c r="J51" s="248"/>
      <c r="K51" s="248"/>
      <c r="L51" s="248"/>
      <c r="M51" s="248"/>
      <c r="N51" s="248"/>
      <c r="O51" s="248"/>
      <c r="P51" s="248"/>
      <c r="Q51" s="248"/>
      <c r="R51" s="248"/>
      <c r="S51" s="248"/>
      <c r="T51" s="218"/>
      <c r="U51" s="14"/>
    </row>
    <row r="52" spans="1:25" hidden="1" x14ac:dyDescent="0.25">
      <c r="A52" s="4"/>
      <c r="B52" s="326" t="s">
        <v>896</v>
      </c>
      <c r="C52" s="236"/>
      <c r="D52" s="236"/>
      <c r="E52" s="236"/>
      <c r="F52" s="236"/>
      <c r="G52" s="236"/>
      <c r="H52" s="236"/>
      <c r="I52" s="236"/>
      <c r="J52" s="236"/>
      <c r="K52" s="236"/>
      <c r="L52" s="236"/>
      <c r="M52" s="236"/>
      <c r="N52" s="236"/>
      <c r="O52" s="236"/>
      <c r="P52" s="236"/>
      <c r="Q52" s="236"/>
      <c r="R52" s="236"/>
      <c r="S52" s="236"/>
      <c r="T52" s="236"/>
      <c r="U52" s="14"/>
    </row>
    <row r="53" spans="1:25" hidden="1" x14ac:dyDescent="0.25">
      <c r="F53"/>
      <c r="G53"/>
      <c r="H53"/>
      <c r="I53"/>
      <c r="J53"/>
      <c r="K53"/>
      <c r="L53"/>
      <c r="M53"/>
      <c r="N53"/>
      <c r="U53" s="15"/>
    </row>
    <row r="54" spans="1:25" x14ac:dyDescent="0.25">
      <c r="A54" s="4"/>
      <c r="B54" s="324" t="str">
        <f>IF(lang=2,Y55,Y54)</f>
        <v>Répartition du budget par pays (en cas de outcomes thématiques avec couverture régionale uniquement.)</v>
      </c>
      <c r="C54" s="325"/>
      <c r="D54" s="325"/>
      <c r="E54" s="325"/>
      <c r="F54" s="325"/>
      <c r="G54" s="325"/>
      <c r="H54" s="325"/>
      <c r="I54" s="325"/>
      <c r="J54" s="325"/>
      <c r="K54" s="325"/>
      <c r="L54" s="325"/>
      <c r="M54" s="325"/>
      <c r="N54" s="325"/>
      <c r="O54" s="325"/>
      <c r="P54" s="325"/>
      <c r="Q54" s="325"/>
      <c r="R54" s="325"/>
      <c r="S54" s="325"/>
      <c r="T54" s="325"/>
      <c r="U54" s="14"/>
      <c r="Y54" t="s">
        <v>899</v>
      </c>
    </row>
    <row r="55" spans="1:25" ht="15.75" thickBot="1" x14ac:dyDescent="0.3">
      <c r="A55" s="4"/>
      <c r="B55" s="6"/>
      <c r="C55" s="6"/>
      <c r="D55" s="6"/>
      <c r="E55" s="6"/>
      <c r="F55" s="6"/>
      <c r="G55" s="6"/>
      <c r="H55" s="6"/>
      <c r="I55" s="6"/>
      <c r="J55" s="6"/>
      <c r="K55" s="6"/>
      <c r="L55" s="6"/>
      <c r="M55" s="6"/>
      <c r="N55" s="6"/>
      <c r="O55" s="6"/>
      <c r="P55" s="6"/>
      <c r="Q55" s="6"/>
      <c r="R55" s="6"/>
      <c r="S55" s="6"/>
      <c r="T55" s="6"/>
      <c r="U55" s="14"/>
      <c r="Y55" t="s">
        <v>900</v>
      </c>
    </row>
    <row r="56" spans="1:25" x14ac:dyDescent="0.25">
      <c r="A56" s="4"/>
      <c r="B56" s="306" t="str">
        <f>IF(lang=1,labels!E112,IF(lang=2,labels!F112,"set lang"))</f>
        <v>TOTAL DES COÛTS OPÉRATIONNELS POUR L'OUTCOME</v>
      </c>
      <c r="C56" s="307"/>
      <c r="D56" s="307"/>
      <c r="E56" s="307"/>
      <c r="F56" s="307"/>
      <c r="G56" s="307"/>
      <c r="H56" s="307"/>
      <c r="I56" s="307"/>
      <c r="J56" s="307"/>
      <c r="K56" s="307"/>
      <c r="L56" s="307"/>
      <c r="M56" s="307"/>
      <c r="N56" s="308"/>
      <c r="O56" s="220">
        <v>2022</v>
      </c>
      <c r="P56" s="220">
        <v>2023</v>
      </c>
      <c r="Q56" s="220">
        <v>2024</v>
      </c>
      <c r="R56" s="220">
        <v>2025</v>
      </c>
      <c r="S56" s="220">
        <v>2026</v>
      </c>
      <c r="T56" s="183" t="s">
        <v>78</v>
      </c>
      <c r="U56" s="5"/>
    </row>
    <row r="57" spans="1:25" x14ac:dyDescent="0.25">
      <c r="A57" s="4"/>
      <c r="B57" s="309"/>
      <c r="C57" s="310"/>
      <c r="D57" s="310"/>
      <c r="E57" s="310"/>
      <c r="F57" s="310"/>
      <c r="G57" s="310"/>
      <c r="H57" s="310"/>
      <c r="I57" s="310"/>
      <c r="J57" s="310"/>
      <c r="K57" s="310"/>
      <c r="L57" s="310"/>
      <c r="M57" s="310"/>
      <c r="N57" s="311"/>
      <c r="O57" s="153">
        <f>SUM(O59:O89)</f>
        <v>0</v>
      </c>
      <c r="P57" s="153">
        <f t="shared" ref="P57:T57" si="11">SUM(P59:P89)</f>
        <v>0</v>
      </c>
      <c r="Q57" s="153">
        <f t="shared" si="11"/>
        <v>0</v>
      </c>
      <c r="R57" s="153">
        <f t="shared" si="11"/>
        <v>0</v>
      </c>
      <c r="S57" s="153">
        <f t="shared" si="11"/>
        <v>0</v>
      </c>
      <c r="T57" s="164">
        <f t="shared" si="11"/>
        <v>0</v>
      </c>
      <c r="U57" s="5"/>
    </row>
    <row r="58" spans="1:25" ht="15.75" x14ac:dyDescent="0.25">
      <c r="A58" s="4"/>
      <c r="B58" s="301" t="str">
        <f>IF(OR(ABS(O58)&gt;1,ABS(P58)&gt;1,ABS(Q58)&gt;1,ABS(R58)&gt;1,ABS(S58)&gt;1,ABS(T58)&gt;1),"Attention aux différences !","")</f>
        <v/>
      </c>
      <c r="C58" s="302"/>
      <c r="D58" s="302"/>
      <c r="E58" s="302"/>
      <c r="F58" s="302"/>
      <c r="G58" s="302"/>
      <c r="H58" s="302"/>
      <c r="I58" s="302"/>
      <c r="J58" s="302"/>
      <c r="K58" s="302"/>
      <c r="L58" s="302"/>
      <c r="M58" s="302"/>
      <c r="N58" s="303"/>
      <c r="O58" s="179">
        <f>O26-SUM(O59:O100)</f>
        <v>0</v>
      </c>
      <c r="P58" s="165">
        <f t="shared" ref="P58:T58" si="12">P26-SUM(P59:P100)</f>
        <v>0</v>
      </c>
      <c r="Q58" s="165">
        <f t="shared" si="12"/>
        <v>0</v>
      </c>
      <c r="R58" s="165">
        <f t="shared" si="12"/>
        <v>0</v>
      </c>
      <c r="S58" s="165">
        <f t="shared" si="12"/>
        <v>0</v>
      </c>
      <c r="T58" s="171">
        <f t="shared" si="12"/>
        <v>0</v>
      </c>
      <c r="U58" s="5"/>
    </row>
    <row r="59" spans="1:25" x14ac:dyDescent="0.25">
      <c r="A59" s="4"/>
      <c r="B59" s="315" t="str">
        <f>IF(lang=1,labels!E113,IF(lang=2,labels!F113,"set lang"))</f>
        <v>ACTIVITÉS SUPRANATIONALES</v>
      </c>
      <c r="C59" s="316"/>
      <c r="D59" s="316"/>
      <c r="E59" s="316"/>
      <c r="F59" s="316"/>
      <c r="G59" s="316"/>
      <c r="H59" s="316"/>
      <c r="I59" s="316"/>
      <c r="J59" s="316"/>
      <c r="K59" s="316"/>
      <c r="L59" s="316"/>
      <c r="M59" s="316"/>
      <c r="N59" s="329"/>
      <c r="O59" s="180"/>
      <c r="P59" s="181"/>
      <c r="Q59" s="181"/>
      <c r="R59" s="181"/>
      <c r="S59" s="181"/>
      <c r="T59" s="174">
        <f>SUM(O59:S59)</f>
        <v>0</v>
      </c>
      <c r="U59" s="5"/>
    </row>
    <row r="60" spans="1:25" x14ac:dyDescent="0.25">
      <c r="A60" s="4"/>
      <c r="B60" s="224" t="str">
        <f>IF(lang=1,labels!E$174,IF(lang=2,labels!F$174,"set lang"))&amp;" "&amp;ROW()-59</f>
        <v>Pays 1</v>
      </c>
      <c r="C60" s="38"/>
      <c r="D60" s="38"/>
      <c r="E60" s="38" t="s">
        <v>692</v>
      </c>
      <c r="F60" s="321"/>
      <c r="G60" s="322"/>
      <c r="H60" s="322"/>
      <c r="I60" s="322"/>
      <c r="J60" s="322"/>
      <c r="K60" s="322"/>
      <c r="L60" s="322"/>
      <c r="M60" s="322"/>
      <c r="N60" s="323"/>
      <c r="O60" s="155"/>
      <c r="P60" s="155"/>
      <c r="Q60" s="155"/>
      <c r="R60" s="155"/>
      <c r="S60" s="155"/>
      <c r="T60" s="174">
        <f t="shared" ref="T60:T100" si="13">SUM(O60:S60)</f>
        <v>0</v>
      </c>
      <c r="U60" s="5"/>
    </row>
    <row r="61" spans="1:25" x14ac:dyDescent="0.25">
      <c r="A61" s="4"/>
      <c r="B61" s="224" t="str">
        <f>IF(lang=1,labels!E$174,IF(lang=2,labels!F$174,"set lang"))&amp;" "&amp;ROW()-59</f>
        <v>Pays 2</v>
      </c>
      <c r="C61" s="38"/>
      <c r="D61" s="38"/>
      <c r="E61" s="38" t="s">
        <v>692</v>
      </c>
      <c r="F61" s="321"/>
      <c r="G61" s="322"/>
      <c r="H61" s="322"/>
      <c r="I61" s="322"/>
      <c r="J61" s="322"/>
      <c r="K61" s="322"/>
      <c r="L61" s="322"/>
      <c r="M61" s="322"/>
      <c r="N61" s="323"/>
      <c r="O61" s="182"/>
      <c r="P61" s="182"/>
      <c r="Q61" s="182"/>
      <c r="R61" s="182"/>
      <c r="S61" s="182"/>
      <c r="T61" s="174">
        <f t="shared" si="13"/>
        <v>0</v>
      </c>
      <c r="U61" s="5"/>
    </row>
    <row r="62" spans="1:25" x14ac:dyDescent="0.25">
      <c r="A62" s="4"/>
      <c r="B62" s="224" t="str">
        <f>IF(lang=1,labels!E$174,IF(lang=2,labels!F$174,"set lang"))&amp;" "&amp;ROW()-59</f>
        <v>Pays 3</v>
      </c>
      <c r="C62" s="38"/>
      <c r="D62" s="38"/>
      <c r="E62" s="38" t="s">
        <v>692</v>
      </c>
      <c r="F62" s="321"/>
      <c r="G62" s="322"/>
      <c r="H62" s="322"/>
      <c r="I62" s="322"/>
      <c r="J62" s="322"/>
      <c r="K62" s="322"/>
      <c r="L62" s="322"/>
      <c r="M62" s="322"/>
      <c r="N62" s="323"/>
      <c r="O62" s="155"/>
      <c r="P62" s="155"/>
      <c r="Q62" s="155"/>
      <c r="R62" s="155"/>
      <c r="S62" s="155"/>
      <c r="T62" s="174">
        <f t="shared" si="13"/>
        <v>0</v>
      </c>
      <c r="U62" s="5"/>
    </row>
    <row r="63" spans="1:25" x14ac:dyDescent="0.25">
      <c r="A63" s="4"/>
      <c r="B63" s="224" t="str">
        <f>IF(lang=1,labels!E$174,IF(lang=2,labels!F$174,"set lang"))&amp;" "&amp;ROW()-59</f>
        <v>Pays 4</v>
      </c>
      <c r="C63" s="38"/>
      <c r="D63" s="38"/>
      <c r="E63" s="38" t="s">
        <v>692</v>
      </c>
      <c r="F63" s="321"/>
      <c r="G63" s="322"/>
      <c r="H63" s="322"/>
      <c r="I63" s="322"/>
      <c r="J63" s="322"/>
      <c r="K63" s="322"/>
      <c r="L63" s="322"/>
      <c r="M63" s="322"/>
      <c r="N63" s="323"/>
      <c r="O63" s="182"/>
      <c r="P63" s="182"/>
      <c r="Q63" s="182"/>
      <c r="R63" s="182"/>
      <c r="S63" s="182"/>
      <c r="T63" s="178">
        <f t="shared" si="13"/>
        <v>0</v>
      </c>
      <c r="U63" s="5"/>
    </row>
    <row r="64" spans="1:25" x14ac:dyDescent="0.25">
      <c r="A64" s="4"/>
      <c r="B64" s="224" t="str">
        <f>IF(lang=1,labels!E$174,IF(lang=2,labels!F$174,"set lang"))&amp;" "&amp;ROW()-59</f>
        <v>Pays 5</v>
      </c>
      <c r="C64" s="38"/>
      <c r="D64" s="38"/>
      <c r="E64" s="38" t="s">
        <v>692</v>
      </c>
      <c r="F64" s="321"/>
      <c r="G64" s="322"/>
      <c r="H64" s="322"/>
      <c r="I64" s="322"/>
      <c r="J64" s="322"/>
      <c r="K64" s="322"/>
      <c r="L64" s="322"/>
      <c r="M64" s="322"/>
      <c r="N64" s="323"/>
      <c r="O64" s="182"/>
      <c r="P64" s="182"/>
      <c r="Q64" s="182"/>
      <c r="R64" s="182"/>
      <c r="S64" s="182"/>
      <c r="T64" s="178">
        <f t="shared" si="13"/>
        <v>0</v>
      </c>
      <c r="U64" s="5"/>
    </row>
    <row r="65" spans="2:21" x14ac:dyDescent="0.25">
      <c r="B65" s="224" t="str">
        <f>IF(lang=1,labels!E$174,IF(lang=2,labels!F$174,"set lang"))&amp;" "&amp;ROW()-59</f>
        <v>Pays 6</v>
      </c>
      <c r="C65" s="38"/>
      <c r="D65" s="38"/>
      <c r="E65" s="38" t="s">
        <v>692</v>
      </c>
      <c r="F65" s="321"/>
      <c r="G65" s="322"/>
      <c r="H65" s="322"/>
      <c r="I65" s="322"/>
      <c r="J65" s="322"/>
      <c r="K65" s="322"/>
      <c r="L65" s="322"/>
      <c r="M65" s="322"/>
      <c r="N65" s="323"/>
      <c r="O65" s="182"/>
      <c r="P65" s="182"/>
      <c r="Q65" s="182"/>
      <c r="R65" s="182"/>
      <c r="S65" s="182"/>
      <c r="T65" s="178">
        <f t="shared" si="13"/>
        <v>0</v>
      </c>
      <c r="U65" s="5"/>
    </row>
    <row r="66" spans="2:21" x14ac:dyDescent="0.25">
      <c r="B66" s="224" t="str">
        <f>IF(lang=1,labels!E$174,IF(lang=2,labels!F$174,"set lang"))&amp;" "&amp;ROW()-59</f>
        <v>Pays 7</v>
      </c>
      <c r="C66" s="38"/>
      <c r="D66" s="38"/>
      <c r="E66" s="38" t="s">
        <v>692</v>
      </c>
      <c r="F66" s="321"/>
      <c r="G66" s="322"/>
      <c r="H66" s="322"/>
      <c r="I66" s="322"/>
      <c r="J66" s="322"/>
      <c r="K66" s="322"/>
      <c r="L66" s="322"/>
      <c r="M66" s="322"/>
      <c r="N66" s="323"/>
      <c r="O66" s="182"/>
      <c r="P66" s="182"/>
      <c r="Q66" s="182"/>
      <c r="R66" s="182"/>
      <c r="S66" s="182"/>
      <c r="T66" s="178">
        <f t="shared" si="13"/>
        <v>0</v>
      </c>
      <c r="U66" s="5"/>
    </row>
    <row r="67" spans="2:21" x14ac:dyDescent="0.25">
      <c r="B67" s="224" t="str">
        <f>IF(lang=1,labels!E$174,IF(lang=2,labels!F$174,"set lang"))&amp;" "&amp;ROW()-59</f>
        <v>Pays 8</v>
      </c>
      <c r="C67" s="38"/>
      <c r="D67" s="38"/>
      <c r="E67" s="38" t="s">
        <v>692</v>
      </c>
      <c r="F67" s="321"/>
      <c r="G67" s="322"/>
      <c r="H67" s="322"/>
      <c r="I67" s="322"/>
      <c r="J67" s="322"/>
      <c r="K67" s="322"/>
      <c r="L67" s="322"/>
      <c r="M67" s="322"/>
      <c r="N67" s="323"/>
      <c r="O67" s="182"/>
      <c r="P67" s="182"/>
      <c r="Q67" s="182"/>
      <c r="R67" s="182"/>
      <c r="S67" s="182"/>
      <c r="T67" s="178">
        <f t="shared" si="13"/>
        <v>0</v>
      </c>
      <c r="U67" s="5"/>
    </row>
    <row r="68" spans="2:21" x14ac:dyDescent="0.25">
      <c r="B68" s="224" t="str">
        <f>IF(lang=1,labels!E$174,IF(lang=2,labels!F$174,"set lang"))&amp;" "&amp;ROW()-59</f>
        <v>Pays 9</v>
      </c>
      <c r="C68" s="38"/>
      <c r="D68" s="38"/>
      <c r="E68" s="38" t="s">
        <v>692</v>
      </c>
      <c r="F68" s="321"/>
      <c r="G68" s="322"/>
      <c r="H68" s="322"/>
      <c r="I68" s="322"/>
      <c r="J68" s="322"/>
      <c r="K68" s="322"/>
      <c r="L68" s="322"/>
      <c r="M68" s="322"/>
      <c r="N68" s="323"/>
      <c r="O68" s="182"/>
      <c r="P68" s="182"/>
      <c r="Q68" s="182"/>
      <c r="R68" s="182"/>
      <c r="S68" s="182"/>
      <c r="T68" s="178">
        <f t="shared" si="13"/>
        <v>0</v>
      </c>
      <c r="U68" s="5"/>
    </row>
    <row r="69" spans="2:21" x14ac:dyDescent="0.25">
      <c r="B69" s="224" t="str">
        <f>IF(lang=1,labels!E$174,IF(lang=2,labels!F$174,"set lang"))&amp;" "&amp;ROW()-59</f>
        <v>Pays 10</v>
      </c>
      <c r="C69" s="38"/>
      <c r="D69" s="38"/>
      <c r="E69" s="38" t="s">
        <v>692</v>
      </c>
      <c r="F69" s="321"/>
      <c r="G69" s="322"/>
      <c r="H69" s="322"/>
      <c r="I69" s="322"/>
      <c r="J69" s="322"/>
      <c r="K69" s="322"/>
      <c r="L69" s="322"/>
      <c r="M69" s="322"/>
      <c r="N69" s="323"/>
      <c r="O69" s="182"/>
      <c r="P69" s="182"/>
      <c r="Q69" s="182"/>
      <c r="R69" s="182"/>
      <c r="S69" s="182"/>
      <c r="T69" s="178">
        <f t="shared" si="13"/>
        <v>0</v>
      </c>
      <c r="U69" s="5"/>
    </row>
    <row r="70" spans="2:21" x14ac:dyDescent="0.25">
      <c r="B70" s="224" t="str">
        <f>IF(lang=1,labels!E$174,IF(lang=2,labels!F$174,"set lang"))&amp;" "&amp;ROW()-59</f>
        <v>Pays 11</v>
      </c>
      <c r="C70" s="38"/>
      <c r="D70" s="38"/>
      <c r="E70" s="38" t="s">
        <v>692</v>
      </c>
      <c r="F70" s="321"/>
      <c r="G70" s="322"/>
      <c r="H70" s="322"/>
      <c r="I70" s="322"/>
      <c r="J70" s="322"/>
      <c r="K70" s="322"/>
      <c r="L70" s="322"/>
      <c r="M70" s="322"/>
      <c r="N70" s="323"/>
      <c r="O70" s="182"/>
      <c r="P70" s="182"/>
      <c r="Q70" s="182"/>
      <c r="R70" s="182"/>
      <c r="S70" s="182"/>
      <c r="T70" s="178">
        <f t="shared" si="13"/>
        <v>0</v>
      </c>
      <c r="U70" s="5"/>
    </row>
    <row r="71" spans="2:21" x14ac:dyDescent="0.25">
      <c r="B71" s="224" t="str">
        <f>IF(lang=1,labels!E$174,IF(lang=2,labels!F$174,"set lang"))&amp;" "&amp;ROW()-59</f>
        <v>Pays 12</v>
      </c>
      <c r="C71" s="38"/>
      <c r="D71" s="38"/>
      <c r="E71" s="38" t="s">
        <v>692</v>
      </c>
      <c r="F71" s="321"/>
      <c r="G71" s="322"/>
      <c r="H71" s="322"/>
      <c r="I71" s="322"/>
      <c r="J71" s="322"/>
      <c r="K71" s="322"/>
      <c r="L71" s="322"/>
      <c r="M71" s="322"/>
      <c r="N71" s="323"/>
      <c r="O71" s="182"/>
      <c r="P71" s="182"/>
      <c r="Q71" s="182"/>
      <c r="R71" s="182"/>
      <c r="S71" s="182"/>
      <c r="T71" s="178">
        <f t="shared" si="13"/>
        <v>0</v>
      </c>
      <c r="U71" s="5"/>
    </row>
    <row r="72" spans="2:21" x14ac:dyDescent="0.25">
      <c r="B72" s="224" t="str">
        <f>IF(lang=1,labels!E$174,IF(lang=2,labels!F$174,"set lang"))&amp;" "&amp;ROW()-59</f>
        <v>Pays 13</v>
      </c>
      <c r="C72" s="38"/>
      <c r="D72" s="38"/>
      <c r="E72" s="38" t="s">
        <v>692</v>
      </c>
      <c r="F72" s="321"/>
      <c r="G72" s="322"/>
      <c r="H72" s="322"/>
      <c r="I72" s="322"/>
      <c r="J72" s="322"/>
      <c r="K72" s="322"/>
      <c r="L72" s="322"/>
      <c r="M72" s="322"/>
      <c r="N72" s="323"/>
      <c r="O72" s="182"/>
      <c r="P72" s="182"/>
      <c r="Q72" s="182"/>
      <c r="R72" s="182"/>
      <c r="S72" s="182"/>
      <c r="T72" s="178">
        <f t="shared" si="13"/>
        <v>0</v>
      </c>
      <c r="U72" s="5"/>
    </row>
    <row r="73" spans="2:21" x14ac:dyDescent="0.25">
      <c r="B73" s="224" t="str">
        <f>IF(lang=1,labels!E$174,IF(lang=2,labels!F$174,"set lang"))&amp;" "&amp;ROW()-59</f>
        <v>Pays 14</v>
      </c>
      <c r="C73" s="38"/>
      <c r="D73" s="38"/>
      <c r="E73" s="38" t="s">
        <v>692</v>
      </c>
      <c r="F73" s="321"/>
      <c r="G73" s="322"/>
      <c r="H73" s="322"/>
      <c r="I73" s="322"/>
      <c r="J73" s="322"/>
      <c r="K73" s="322"/>
      <c r="L73" s="322"/>
      <c r="M73" s="322"/>
      <c r="N73" s="323"/>
      <c r="O73" s="182"/>
      <c r="P73" s="182"/>
      <c r="Q73" s="182"/>
      <c r="R73" s="182"/>
      <c r="S73" s="182"/>
      <c r="T73" s="178">
        <f t="shared" si="13"/>
        <v>0</v>
      </c>
      <c r="U73" s="5"/>
    </row>
    <row r="74" spans="2:21" x14ac:dyDescent="0.25">
      <c r="B74" s="224" t="str">
        <f>IF(lang=1,labels!E$174,IF(lang=2,labels!F$174,"set lang"))&amp;" "&amp;ROW()-59</f>
        <v>Pays 15</v>
      </c>
      <c r="C74" s="38"/>
      <c r="D74" s="38"/>
      <c r="E74" s="38" t="s">
        <v>692</v>
      </c>
      <c r="F74" s="321"/>
      <c r="G74" s="322"/>
      <c r="H74" s="322"/>
      <c r="I74" s="322"/>
      <c r="J74" s="322"/>
      <c r="K74" s="322"/>
      <c r="L74" s="322"/>
      <c r="M74" s="322"/>
      <c r="N74" s="323"/>
      <c r="O74" s="182"/>
      <c r="P74" s="182"/>
      <c r="Q74" s="182"/>
      <c r="R74" s="182"/>
      <c r="S74" s="182"/>
      <c r="T74" s="178">
        <f t="shared" si="13"/>
        <v>0</v>
      </c>
      <c r="U74" s="5"/>
    </row>
    <row r="75" spans="2:21" x14ac:dyDescent="0.25">
      <c r="B75" s="224" t="str">
        <f>IF(lang=1,labels!E$174,IF(lang=2,labels!F$174,"set lang"))&amp;" "&amp;ROW()-59</f>
        <v>Pays 16</v>
      </c>
      <c r="C75" s="38"/>
      <c r="D75" s="38"/>
      <c r="E75" s="38" t="s">
        <v>692</v>
      </c>
      <c r="F75" s="321"/>
      <c r="G75" s="322"/>
      <c r="H75" s="322"/>
      <c r="I75" s="322"/>
      <c r="J75" s="322"/>
      <c r="K75" s="322"/>
      <c r="L75" s="322"/>
      <c r="M75" s="322"/>
      <c r="N75" s="323"/>
      <c r="O75" s="182"/>
      <c r="P75" s="182"/>
      <c r="Q75" s="182"/>
      <c r="R75" s="182"/>
      <c r="S75" s="182"/>
      <c r="T75" s="178">
        <f t="shared" si="13"/>
        <v>0</v>
      </c>
      <c r="U75" s="5"/>
    </row>
    <row r="76" spans="2:21" x14ac:dyDescent="0.25">
      <c r="B76" s="224" t="str">
        <f>IF(lang=1,labels!E$174,IF(lang=2,labels!F$174,"set lang"))&amp;" "&amp;ROW()-59</f>
        <v>Pays 17</v>
      </c>
      <c r="C76" s="38"/>
      <c r="D76" s="38"/>
      <c r="E76" s="38" t="s">
        <v>692</v>
      </c>
      <c r="F76" s="321"/>
      <c r="G76" s="322"/>
      <c r="H76" s="322"/>
      <c r="I76" s="322"/>
      <c r="J76" s="322"/>
      <c r="K76" s="322"/>
      <c r="L76" s="322"/>
      <c r="M76" s="322"/>
      <c r="N76" s="323"/>
      <c r="O76" s="182"/>
      <c r="P76" s="182"/>
      <c r="Q76" s="182"/>
      <c r="R76" s="182"/>
      <c r="S76" s="182"/>
      <c r="T76" s="178">
        <f t="shared" si="13"/>
        <v>0</v>
      </c>
      <c r="U76" s="5"/>
    </row>
    <row r="77" spans="2:21" x14ac:dyDescent="0.25">
      <c r="B77" s="224" t="str">
        <f>IF(lang=1,labels!E$174,IF(lang=2,labels!F$174,"set lang"))&amp;" "&amp;ROW()-59</f>
        <v>Pays 18</v>
      </c>
      <c r="C77" s="38"/>
      <c r="D77" s="38"/>
      <c r="E77" s="38" t="s">
        <v>692</v>
      </c>
      <c r="F77" s="321"/>
      <c r="G77" s="322"/>
      <c r="H77" s="322"/>
      <c r="I77" s="322"/>
      <c r="J77" s="322"/>
      <c r="K77" s="322"/>
      <c r="L77" s="322"/>
      <c r="M77" s="322"/>
      <c r="N77" s="323"/>
      <c r="O77" s="182"/>
      <c r="P77" s="182"/>
      <c r="Q77" s="182"/>
      <c r="R77" s="182"/>
      <c r="S77" s="182"/>
      <c r="T77" s="178">
        <f t="shared" si="13"/>
        <v>0</v>
      </c>
      <c r="U77" s="5"/>
    </row>
    <row r="78" spans="2:21" x14ac:dyDescent="0.25">
      <c r="B78" s="224" t="str">
        <f>IF(lang=1,labels!E$174,IF(lang=2,labels!F$174,"set lang"))&amp;" "&amp;ROW()-59</f>
        <v>Pays 19</v>
      </c>
      <c r="C78" s="38"/>
      <c r="D78" s="38"/>
      <c r="E78" s="38" t="s">
        <v>692</v>
      </c>
      <c r="F78" s="321"/>
      <c r="G78" s="322"/>
      <c r="H78" s="322"/>
      <c r="I78" s="322"/>
      <c r="J78" s="322"/>
      <c r="K78" s="322"/>
      <c r="L78" s="322"/>
      <c r="M78" s="322"/>
      <c r="N78" s="323"/>
      <c r="O78" s="182"/>
      <c r="P78" s="182"/>
      <c r="Q78" s="182"/>
      <c r="R78" s="182"/>
      <c r="S78" s="182"/>
      <c r="T78" s="178">
        <f t="shared" si="13"/>
        <v>0</v>
      </c>
      <c r="U78" s="5"/>
    </row>
    <row r="79" spans="2:21" x14ac:dyDescent="0.25">
      <c r="B79" s="224" t="str">
        <f>IF(lang=1,labels!E$174,IF(lang=2,labels!F$174,"set lang"))&amp;" "&amp;ROW()-59</f>
        <v>Pays 20</v>
      </c>
      <c r="C79" s="38"/>
      <c r="D79" s="38"/>
      <c r="E79" s="38" t="s">
        <v>692</v>
      </c>
      <c r="F79" s="321"/>
      <c r="G79" s="322"/>
      <c r="H79" s="322"/>
      <c r="I79" s="322"/>
      <c r="J79" s="322"/>
      <c r="K79" s="322"/>
      <c r="L79" s="322"/>
      <c r="M79" s="322"/>
      <c r="N79" s="323"/>
      <c r="O79" s="182"/>
      <c r="P79" s="182"/>
      <c r="Q79" s="182"/>
      <c r="R79" s="182"/>
      <c r="S79" s="182"/>
      <c r="T79" s="178">
        <f t="shared" si="13"/>
        <v>0</v>
      </c>
      <c r="U79" s="5"/>
    </row>
    <row r="80" spans="2:21" x14ac:dyDescent="0.25">
      <c r="B80" s="224" t="str">
        <f>IF(lang=1,labels!E$174,IF(lang=2,labels!F$174,"set lang"))&amp;" "&amp;ROW()-59</f>
        <v>Pays 21</v>
      </c>
      <c r="C80" s="38"/>
      <c r="D80" s="38"/>
      <c r="E80" s="38" t="s">
        <v>692</v>
      </c>
      <c r="F80" s="321"/>
      <c r="G80" s="322"/>
      <c r="H80" s="322"/>
      <c r="I80" s="322"/>
      <c r="J80" s="322"/>
      <c r="K80" s="322"/>
      <c r="L80" s="322"/>
      <c r="M80" s="322"/>
      <c r="N80" s="323"/>
      <c r="O80" s="182"/>
      <c r="P80" s="182"/>
      <c r="Q80" s="182"/>
      <c r="R80" s="182"/>
      <c r="S80" s="182"/>
      <c r="T80" s="178">
        <f t="shared" si="13"/>
        <v>0</v>
      </c>
      <c r="U80" s="5"/>
    </row>
    <row r="81" spans="2:21" x14ac:dyDescent="0.25">
      <c r="B81" s="224" t="str">
        <f>IF(lang=1,labels!E$174,IF(lang=2,labels!F$174,"set lang"))&amp;" "&amp;ROW()-59</f>
        <v>Pays 22</v>
      </c>
      <c r="C81" s="38"/>
      <c r="D81" s="38"/>
      <c r="E81" s="38" t="s">
        <v>692</v>
      </c>
      <c r="F81" s="321"/>
      <c r="G81" s="322"/>
      <c r="H81" s="322"/>
      <c r="I81" s="322"/>
      <c r="J81" s="322"/>
      <c r="K81" s="322"/>
      <c r="L81" s="322"/>
      <c r="M81" s="322"/>
      <c r="N81" s="323"/>
      <c r="O81" s="182"/>
      <c r="P81" s="182"/>
      <c r="Q81" s="182"/>
      <c r="R81" s="182"/>
      <c r="S81" s="182"/>
      <c r="T81" s="178">
        <f t="shared" si="13"/>
        <v>0</v>
      </c>
      <c r="U81" s="5"/>
    </row>
    <row r="82" spans="2:21" x14ac:dyDescent="0.25">
      <c r="B82" s="224" t="str">
        <f>IF(lang=1,labels!E$174,IF(lang=2,labels!F$174,"set lang"))&amp;" "&amp;ROW()-59</f>
        <v>Pays 23</v>
      </c>
      <c r="C82" s="38"/>
      <c r="D82" s="38"/>
      <c r="E82" s="38" t="s">
        <v>692</v>
      </c>
      <c r="F82" s="321"/>
      <c r="G82" s="322"/>
      <c r="H82" s="322"/>
      <c r="I82" s="322"/>
      <c r="J82" s="322"/>
      <c r="K82" s="322"/>
      <c r="L82" s="322"/>
      <c r="M82" s="322"/>
      <c r="N82" s="323"/>
      <c r="O82" s="182"/>
      <c r="P82" s="182"/>
      <c r="Q82" s="182"/>
      <c r="R82" s="182"/>
      <c r="S82" s="182"/>
      <c r="T82" s="178">
        <f t="shared" si="13"/>
        <v>0</v>
      </c>
      <c r="U82" s="5"/>
    </row>
    <row r="83" spans="2:21" x14ac:dyDescent="0.25">
      <c r="B83" s="224" t="str">
        <f>IF(lang=1,labels!E$174,IF(lang=2,labels!F$174,"set lang"))&amp;" "&amp;ROW()-59</f>
        <v>Pays 24</v>
      </c>
      <c r="C83" s="38"/>
      <c r="D83" s="38"/>
      <c r="E83" s="38" t="s">
        <v>692</v>
      </c>
      <c r="F83" s="321"/>
      <c r="G83" s="322"/>
      <c r="H83" s="322"/>
      <c r="I83" s="322"/>
      <c r="J83" s="322"/>
      <c r="K83" s="322"/>
      <c r="L83" s="322"/>
      <c r="M83" s="322"/>
      <c r="N83" s="323"/>
      <c r="O83" s="182"/>
      <c r="P83" s="182"/>
      <c r="Q83" s="182"/>
      <c r="R83" s="182"/>
      <c r="S83" s="182"/>
      <c r="T83" s="178">
        <f t="shared" si="13"/>
        <v>0</v>
      </c>
      <c r="U83" s="5"/>
    </row>
    <row r="84" spans="2:21" x14ac:dyDescent="0.25">
      <c r="B84" s="224" t="str">
        <f>IF(lang=1,labels!E$174,IF(lang=2,labels!F$174,"set lang"))&amp;" "&amp;ROW()-59</f>
        <v>Pays 25</v>
      </c>
      <c r="C84" s="38"/>
      <c r="D84" s="38"/>
      <c r="E84" s="38" t="s">
        <v>692</v>
      </c>
      <c r="F84" s="321"/>
      <c r="G84" s="322"/>
      <c r="H84" s="322"/>
      <c r="I84" s="322"/>
      <c r="J84" s="322"/>
      <c r="K84" s="322"/>
      <c r="L84" s="322"/>
      <c r="M84" s="322"/>
      <c r="N84" s="323"/>
      <c r="O84" s="182"/>
      <c r="P84" s="182"/>
      <c r="Q84" s="182"/>
      <c r="R84" s="182"/>
      <c r="S84" s="182"/>
      <c r="T84" s="178">
        <f t="shared" si="13"/>
        <v>0</v>
      </c>
      <c r="U84" s="5"/>
    </row>
    <row r="85" spans="2:21" x14ac:dyDescent="0.25">
      <c r="B85" s="224" t="str">
        <f>IF(lang=1,labels!E$174,IF(lang=2,labels!F$174,"set lang"))&amp;" "&amp;ROW()-59</f>
        <v>Pays 26</v>
      </c>
      <c r="C85" s="38"/>
      <c r="D85" s="38"/>
      <c r="E85" s="38" t="s">
        <v>692</v>
      </c>
      <c r="F85" s="321"/>
      <c r="G85" s="322"/>
      <c r="H85" s="322"/>
      <c r="I85" s="322"/>
      <c r="J85" s="322"/>
      <c r="K85" s="322"/>
      <c r="L85" s="322"/>
      <c r="M85" s="322"/>
      <c r="N85" s="323"/>
      <c r="O85" s="182"/>
      <c r="P85" s="182"/>
      <c r="Q85" s="182"/>
      <c r="R85" s="182"/>
      <c r="S85" s="182"/>
      <c r="T85" s="178">
        <f t="shared" si="13"/>
        <v>0</v>
      </c>
      <c r="U85" s="5"/>
    </row>
    <row r="86" spans="2:21" x14ac:dyDescent="0.25">
      <c r="B86" s="224" t="str">
        <f>IF(lang=1,labels!E$174,IF(lang=2,labels!F$174,"set lang"))&amp;" "&amp;ROW()-59</f>
        <v>Pays 27</v>
      </c>
      <c r="C86" s="38"/>
      <c r="D86" s="38"/>
      <c r="E86" s="38" t="s">
        <v>692</v>
      </c>
      <c r="F86" s="321"/>
      <c r="G86" s="322"/>
      <c r="H86" s="322"/>
      <c r="I86" s="322"/>
      <c r="J86" s="322"/>
      <c r="K86" s="322"/>
      <c r="L86" s="322"/>
      <c r="M86" s="322"/>
      <c r="N86" s="323"/>
      <c r="O86" s="182"/>
      <c r="P86" s="182"/>
      <c r="Q86" s="182"/>
      <c r="R86" s="182"/>
      <c r="S86" s="182"/>
      <c r="T86" s="178">
        <f t="shared" si="13"/>
        <v>0</v>
      </c>
      <c r="U86" s="5"/>
    </row>
    <row r="87" spans="2:21" x14ac:dyDescent="0.25">
      <c r="B87" s="224" t="str">
        <f>IF(lang=1,labels!E$174,IF(lang=2,labels!F$174,"set lang"))&amp;" "&amp;ROW()-59</f>
        <v>Pays 28</v>
      </c>
      <c r="C87" s="38"/>
      <c r="D87" s="38"/>
      <c r="E87" s="38" t="s">
        <v>692</v>
      </c>
      <c r="F87" s="321"/>
      <c r="G87" s="322"/>
      <c r="H87" s="322"/>
      <c r="I87" s="322"/>
      <c r="J87" s="322"/>
      <c r="K87" s="322"/>
      <c r="L87" s="322"/>
      <c r="M87" s="322"/>
      <c r="N87" s="323"/>
      <c r="O87" s="182"/>
      <c r="P87" s="182"/>
      <c r="Q87" s="182"/>
      <c r="R87" s="182"/>
      <c r="S87" s="182"/>
      <c r="T87" s="178">
        <f t="shared" si="13"/>
        <v>0</v>
      </c>
      <c r="U87" s="5"/>
    </row>
    <row r="88" spans="2:21" x14ac:dyDescent="0.25">
      <c r="B88" s="224" t="str">
        <f>IF(lang=1,labels!E$174,IF(lang=2,labels!F$174,"set lang"))&amp;" "&amp;ROW()-59</f>
        <v>Pays 29</v>
      </c>
      <c r="C88" s="38"/>
      <c r="D88" s="38"/>
      <c r="E88" s="38" t="s">
        <v>692</v>
      </c>
      <c r="F88" s="321"/>
      <c r="G88" s="322"/>
      <c r="H88" s="322"/>
      <c r="I88" s="322"/>
      <c r="J88" s="322"/>
      <c r="K88" s="322"/>
      <c r="L88" s="322"/>
      <c r="M88" s="322"/>
      <c r="N88" s="323"/>
      <c r="O88" s="182"/>
      <c r="P88" s="182"/>
      <c r="Q88" s="182"/>
      <c r="R88" s="182"/>
      <c r="S88" s="182"/>
      <c r="T88" s="178">
        <f t="shared" si="13"/>
        <v>0</v>
      </c>
      <c r="U88" s="5"/>
    </row>
    <row r="89" spans="2:21" x14ac:dyDescent="0.25">
      <c r="B89" s="224" t="str">
        <f>IF(lang=1,labels!E$174,IF(lang=2,labels!F$174,"set lang"))&amp;" "&amp;ROW()-59</f>
        <v>Pays 30</v>
      </c>
      <c r="C89" s="38"/>
      <c r="D89" s="38"/>
      <c r="E89" s="38" t="s">
        <v>692</v>
      </c>
      <c r="F89" s="321"/>
      <c r="G89" s="322"/>
      <c r="H89" s="322"/>
      <c r="I89" s="322"/>
      <c r="J89" s="322"/>
      <c r="K89" s="322"/>
      <c r="L89" s="322"/>
      <c r="M89" s="322"/>
      <c r="N89" s="323"/>
      <c r="O89" s="182"/>
      <c r="P89" s="182"/>
      <c r="Q89" s="182"/>
      <c r="R89" s="182"/>
      <c r="S89" s="182"/>
      <c r="T89" s="178">
        <f t="shared" si="13"/>
        <v>0</v>
      </c>
      <c r="U89" s="5"/>
    </row>
    <row r="90" spans="2:21" hidden="1" x14ac:dyDescent="0.25">
      <c r="B90" s="224" t="str">
        <f>IF(lang=1,labels!E$174,IF(lang=2,labels!F$174,"set lang"))&amp;" "&amp;ROW()-59</f>
        <v>Pays 31</v>
      </c>
      <c r="C90" s="38"/>
      <c r="D90" s="38"/>
      <c r="E90" s="38" t="s">
        <v>692</v>
      </c>
      <c r="F90" s="321"/>
      <c r="G90" s="322"/>
      <c r="H90" s="322"/>
      <c r="I90" s="322"/>
      <c r="J90" s="322"/>
      <c r="K90" s="322"/>
      <c r="L90" s="322"/>
      <c r="M90" s="322"/>
      <c r="N90" s="323"/>
      <c r="O90" s="182"/>
      <c r="P90" s="182"/>
      <c r="Q90" s="182"/>
      <c r="R90" s="182"/>
      <c r="S90" s="182"/>
      <c r="T90" s="178">
        <f t="shared" si="13"/>
        <v>0</v>
      </c>
      <c r="U90" s="5"/>
    </row>
    <row r="91" spans="2:21" hidden="1" x14ac:dyDescent="0.25">
      <c r="B91" s="224" t="str">
        <f>IF(lang=1,labels!E$174,IF(lang=2,labels!F$174,"set lang"))&amp;" "&amp;ROW()-59</f>
        <v>Pays 32</v>
      </c>
      <c r="C91" s="38"/>
      <c r="D91" s="38"/>
      <c r="E91" s="38" t="s">
        <v>692</v>
      </c>
      <c r="F91" s="321"/>
      <c r="G91" s="322"/>
      <c r="H91" s="322"/>
      <c r="I91" s="322"/>
      <c r="J91" s="322"/>
      <c r="K91" s="322"/>
      <c r="L91" s="322"/>
      <c r="M91" s="322"/>
      <c r="N91" s="323"/>
      <c r="O91" s="182"/>
      <c r="P91" s="182"/>
      <c r="Q91" s="182"/>
      <c r="R91" s="182"/>
      <c r="S91" s="182"/>
      <c r="T91" s="178">
        <f t="shared" si="13"/>
        <v>0</v>
      </c>
      <c r="U91" s="5"/>
    </row>
    <row r="92" spans="2:21" hidden="1" x14ac:dyDescent="0.25">
      <c r="B92" s="224" t="str">
        <f>IF(lang=1,labels!E$174,IF(lang=2,labels!F$174,"set lang"))&amp;" "&amp;ROW()-59</f>
        <v>Pays 33</v>
      </c>
      <c r="C92" s="38"/>
      <c r="D92" s="38"/>
      <c r="E92" s="38" t="s">
        <v>692</v>
      </c>
      <c r="F92" s="321"/>
      <c r="G92" s="322"/>
      <c r="H92" s="322"/>
      <c r="I92" s="322"/>
      <c r="J92" s="322"/>
      <c r="K92" s="322"/>
      <c r="L92" s="322"/>
      <c r="M92" s="322"/>
      <c r="N92" s="323"/>
      <c r="O92" s="182"/>
      <c r="P92" s="182"/>
      <c r="Q92" s="182"/>
      <c r="R92" s="182"/>
      <c r="S92" s="182"/>
      <c r="T92" s="178">
        <f t="shared" si="13"/>
        <v>0</v>
      </c>
      <c r="U92" s="5"/>
    </row>
    <row r="93" spans="2:21" hidden="1" x14ac:dyDescent="0.25">
      <c r="B93" s="224" t="str">
        <f>IF(lang=1,labels!E$174,IF(lang=2,labels!F$174,"set lang"))&amp;" "&amp;ROW()-59</f>
        <v>Pays 34</v>
      </c>
      <c r="C93" s="38"/>
      <c r="D93" s="38"/>
      <c r="E93" s="38" t="s">
        <v>692</v>
      </c>
      <c r="F93" s="321"/>
      <c r="G93" s="322"/>
      <c r="H93" s="322"/>
      <c r="I93" s="322"/>
      <c r="J93" s="322"/>
      <c r="K93" s="322"/>
      <c r="L93" s="322"/>
      <c r="M93" s="322"/>
      <c r="N93" s="323"/>
      <c r="O93" s="182"/>
      <c r="P93" s="182"/>
      <c r="Q93" s="182"/>
      <c r="R93" s="182"/>
      <c r="S93" s="182"/>
      <c r="T93" s="178">
        <f t="shared" si="13"/>
        <v>0</v>
      </c>
      <c r="U93" s="5"/>
    </row>
    <row r="94" spans="2:21" hidden="1" x14ac:dyDescent="0.25">
      <c r="B94" s="224" t="str">
        <f>IF(lang=1,labels!E$174,IF(lang=2,labels!F$174,"set lang"))&amp;" "&amp;ROW()-59</f>
        <v>Pays 35</v>
      </c>
      <c r="C94" s="38"/>
      <c r="D94" s="38"/>
      <c r="E94" s="38" t="s">
        <v>692</v>
      </c>
      <c r="F94" s="321"/>
      <c r="G94" s="322"/>
      <c r="H94" s="322"/>
      <c r="I94" s="322"/>
      <c r="J94" s="322"/>
      <c r="K94" s="322"/>
      <c r="L94" s="322"/>
      <c r="M94" s="322"/>
      <c r="N94" s="323"/>
      <c r="O94" s="182"/>
      <c r="P94" s="182"/>
      <c r="Q94" s="182"/>
      <c r="R94" s="182"/>
      <c r="S94" s="182"/>
      <c r="T94" s="178">
        <f t="shared" si="13"/>
        <v>0</v>
      </c>
      <c r="U94" s="5"/>
    </row>
    <row r="95" spans="2:21" hidden="1" x14ac:dyDescent="0.25">
      <c r="B95" s="224" t="str">
        <f>IF(lang=1,labels!E$174,IF(lang=2,labels!F$174,"set lang"))&amp;" "&amp;ROW()-59</f>
        <v>Pays 36</v>
      </c>
      <c r="C95" s="38"/>
      <c r="D95" s="38"/>
      <c r="E95" s="38" t="s">
        <v>692</v>
      </c>
      <c r="F95" s="321"/>
      <c r="G95" s="322"/>
      <c r="H95" s="322"/>
      <c r="I95" s="322"/>
      <c r="J95" s="322"/>
      <c r="K95" s="322"/>
      <c r="L95" s="322"/>
      <c r="M95" s="322"/>
      <c r="N95" s="323"/>
      <c r="O95" s="182"/>
      <c r="P95" s="182"/>
      <c r="Q95" s="182"/>
      <c r="R95" s="182"/>
      <c r="S95" s="182"/>
      <c r="T95" s="178">
        <f t="shared" si="13"/>
        <v>0</v>
      </c>
      <c r="U95" s="5"/>
    </row>
    <row r="96" spans="2:21" hidden="1" x14ac:dyDescent="0.25">
      <c r="B96" s="224" t="str">
        <f>IF(lang=1,labels!E$174,IF(lang=2,labels!F$174,"set lang"))&amp;" "&amp;ROW()-59</f>
        <v>Pays 37</v>
      </c>
      <c r="C96" s="38"/>
      <c r="D96" s="38"/>
      <c r="E96" s="38" t="s">
        <v>692</v>
      </c>
      <c r="F96" s="321"/>
      <c r="G96" s="322"/>
      <c r="H96" s="322"/>
      <c r="I96" s="322"/>
      <c r="J96" s="322"/>
      <c r="K96" s="322"/>
      <c r="L96" s="322"/>
      <c r="M96" s="322"/>
      <c r="N96" s="323"/>
      <c r="O96" s="182"/>
      <c r="P96" s="182"/>
      <c r="Q96" s="182"/>
      <c r="R96" s="182"/>
      <c r="S96" s="182"/>
      <c r="T96" s="178">
        <f t="shared" si="13"/>
        <v>0</v>
      </c>
      <c r="U96" s="5"/>
    </row>
    <row r="97" spans="2:21" hidden="1" x14ac:dyDescent="0.25">
      <c r="B97" s="224" t="str">
        <f>IF(lang=1,labels!E$174,IF(lang=2,labels!F$174,"set lang"))&amp;" "&amp;ROW()-59</f>
        <v>Pays 38</v>
      </c>
      <c r="C97" s="38"/>
      <c r="D97" s="38"/>
      <c r="E97" s="38" t="s">
        <v>692</v>
      </c>
      <c r="F97" s="321"/>
      <c r="G97" s="322"/>
      <c r="H97" s="322"/>
      <c r="I97" s="322"/>
      <c r="J97" s="322"/>
      <c r="K97" s="322"/>
      <c r="L97" s="322"/>
      <c r="M97" s="322"/>
      <c r="N97" s="323"/>
      <c r="O97" s="182"/>
      <c r="P97" s="182"/>
      <c r="Q97" s="182"/>
      <c r="R97" s="182"/>
      <c r="S97" s="182"/>
      <c r="T97" s="178">
        <f t="shared" si="13"/>
        <v>0</v>
      </c>
      <c r="U97" s="5"/>
    </row>
    <row r="98" spans="2:21" hidden="1" x14ac:dyDescent="0.25">
      <c r="B98" s="224" t="str">
        <f>IF(lang=1,labels!E$174,IF(lang=2,labels!F$174,"set lang"))&amp;" "&amp;ROW()-59</f>
        <v>Pays 39</v>
      </c>
      <c r="C98" s="38"/>
      <c r="D98" s="38"/>
      <c r="E98" s="38" t="s">
        <v>692</v>
      </c>
      <c r="F98" s="321"/>
      <c r="G98" s="322"/>
      <c r="H98" s="322"/>
      <c r="I98" s="322"/>
      <c r="J98" s="322"/>
      <c r="K98" s="322"/>
      <c r="L98" s="322"/>
      <c r="M98" s="322"/>
      <c r="N98" s="323"/>
      <c r="O98" s="182"/>
      <c r="P98" s="182"/>
      <c r="Q98" s="182"/>
      <c r="R98" s="182"/>
      <c r="S98" s="182"/>
      <c r="T98" s="178">
        <f t="shared" si="13"/>
        <v>0</v>
      </c>
      <c r="U98" s="5"/>
    </row>
    <row r="99" spans="2:21" hidden="1" x14ac:dyDescent="0.25">
      <c r="B99" s="224" t="str">
        <f>IF(lang=1,labels!E$174,IF(lang=2,labels!F$174,"set lang"))&amp;" "&amp;ROW()-59</f>
        <v>Pays 40</v>
      </c>
      <c r="C99" s="38"/>
      <c r="D99" s="38"/>
      <c r="E99" s="38" t="s">
        <v>692</v>
      </c>
      <c r="F99" s="321"/>
      <c r="G99" s="322"/>
      <c r="H99" s="322"/>
      <c r="I99" s="322"/>
      <c r="J99" s="322"/>
      <c r="K99" s="322"/>
      <c r="L99" s="322"/>
      <c r="M99" s="322"/>
      <c r="N99" s="323"/>
      <c r="O99" s="182"/>
      <c r="P99" s="182"/>
      <c r="Q99" s="182"/>
      <c r="R99" s="182"/>
      <c r="S99" s="182"/>
      <c r="T99" s="178">
        <f t="shared" si="13"/>
        <v>0</v>
      </c>
      <c r="U99" s="5"/>
    </row>
    <row r="100" spans="2:21" hidden="1" x14ac:dyDescent="0.25">
      <c r="B100" s="224" t="str">
        <f>IF(lang=1,labels!E$174,IF(lang=2,labels!F$174,"set lang"))&amp;" "&amp;ROW()-59</f>
        <v>Pays 41</v>
      </c>
      <c r="C100" s="38"/>
      <c r="D100" s="38"/>
      <c r="E100" s="38" t="s">
        <v>692</v>
      </c>
      <c r="F100" s="321"/>
      <c r="G100" s="322"/>
      <c r="H100" s="322"/>
      <c r="I100" s="322"/>
      <c r="J100" s="322"/>
      <c r="K100" s="322"/>
      <c r="L100" s="322"/>
      <c r="M100" s="322"/>
      <c r="N100" s="323"/>
      <c r="O100" s="182"/>
      <c r="P100" s="182"/>
      <c r="Q100" s="182"/>
      <c r="R100" s="182"/>
      <c r="S100" s="182"/>
      <c r="T100" s="178">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defaultColWidth="13.140625" defaultRowHeight="15" zeroHeight="1" x14ac:dyDescent="0.25"/>
  <cols>
    <col min="1" max="1" width="1.7109375" style="17" customWidth="1"/>
    <col min="2" max="2" width="5.140625" style="16" customWidth="1"/>
    <col min="3" max="3" width="50.7109375" style="17" customWidth="1"/>
    <col min="4" max="4" width="17.7109375" style="16" customWidth="1"/>
    <col min="5" max="5" width="13.5703125" style="16" customWidth="1"/>
    <col min="6" max="6" width="39.85546875" style="17" hidden="1" customWidth="1"/>
    <col min="7" max="7" width="38.140625" style="17" hidden="1" customWidth="1"/>
    <col min="8" max="8" width="22.7109375" style="17" customWidth="1"/>
    <col min="9" max="9" width="28.85546875" style="17" customWidth="1"/>
    <col min="10" max="10" width="14" style="16" customWidth="1"/>
    <col min="11" max="11" width="35" style="17" customWidth="1"/>
    <col min="12" max="16384" width="13.140625" style="17"/>
  </cols>
  <sheetData>
    <row r="1" spans="2:11" ht="4.9000000000000004" customHeight="1" x14ac:dyDescent="0.25"/>
    <row r="2" spans="2:11" ht="60" x14ac:dyDescent="0.25">
      <c r="B2" s="18" t="s">
        <v>905</v>
      </c>
      <c r="C2" s="18" t="s">
        <v>906</v>
      </c>
      <c r="D2" s="19" t="s">
        <v>907</v>
      </c>
      <c r="E2" s="19" t="s">
        <v>908</v>
      </c>
      <c r="F2" s="18" t="s">
        <v>909</v>
      </c>
      <c r="G2" s="18" t="s">
        <v>910</v>
      </c>
      <c r="H2" s="18" t="s">
        <v>911</v>
      </c>
      <c r="I2" s="18" t="s">
        <v>912</v>
      </c>
      <c r="J2" s="20" t="s">
        <v>913</v>
      </c>
    </row>
    <row r="3" spans="2:11" x14ac:dyDescent="0.25">
      <c r="B3" s="36" t="s">
        <v>914</v>
      </c>
      <c r="C3" s="36" t="s">
        <v>915</v>
      </c>
      <c r="D3" s="37" t="s">
        <v>916</v>
      </c>
      <c r="E3" s="37" t="s">
        <v>917</v>
      </c>
      <c r="F3" s="36" t="s">
        <v>235</v>
      </c>
      <c r="G3" s="36" t="s">
        <v>236</v>
      </c>
      <c r="H3" s="36" t="s">
        <v>918</v>
      </c>
      <c r="I3" s="36" t="s">
        <v>919</v>
      </c>
      <c r="J3" s="37" t="s">
        <v>920</v>
      </c>
      <c r="K3" s="36" t="s">
        <v>921</v>
      </c>
    </row>
    <row r="4" spans="2:11" ht="30" hidden="1" x14ac:dyDescent="0.25">
      <c r="B4" s="21">
        <v>1</v>
      </c>
      <c r="C4" s="22" t="s">
        <v>922</v>
      </c>
      <c r="D4" s="23" t="s">
        <v>923</v>
      </c>
      <c r="E4" s="23" t="s">
        <v>924</v>
      </c>
      <c r="F4" s="22" t="s">
        <v>925</v>
      </c>
      <c r="G4" s="22" t="s">
        <v>926</v>
      </c>
      <c r="H4" s="24">
        <v>42510</v>
      </c>
      <c r="I4" s="25" t="s">
        <v>927</v>
      </c>
      <c r="J4" s="26">
        <v>11</v>
      </c>
      <c r="K4" s="17" t="str">
        <f>Table2[[#This Row],[name]]</f>
        <v>Koepel van de Vlaamse Noord-Zuidbeweging</v>
      </c>
    </row>
    <row r="5" spans="2:11" ht="45" hidden="1" x14ac:dyDescent="0.25">
      <c r="B5" s="27">
        <v>2</v>
      </c>
      <c r="C5" s="28" t="s">
        <v>928</v>
      </c>
      <c r="D5" s="29" t="s">
        <v>929</v>
      </c>
      <c r="E5" s="29" t="s">
        <v>930</v>
      </c>
      <c r="F5" s="28" t="s">
        <v>931</v>
      </c>
      <c r="G5" s="28" t="s">
        <v>932</v>
      </c>
      <c r="H5" s="30">
        <v>42650</v>
      </c>
      <c r="I5" s="31" t="s">
        <v>933</v>
      </c>
      <c r="J5" s="32" t="s">
        <v>929</v>
      </c>
      <c r="K5" s="17" t="str">
        <f>Table2[[#This Row],[name]]</f>
        <v>Fédération francophone et germanophone des associations de coopération au développement</v>
      </c>
    </row>
    <row r="6" spans="2:11" ht="30" hidden="1" x14ac:dyDescent="0.25">
      <c r="B6" s="27">
        <v>3</v>
      </c>
      <c r="C6" s="28" t="s">
        <v>934</v>
      </c>
      <c r="D6" s="29" t="s">
        <v>935</v>
      </c>
      <c r="E6" s="29" t="s">
        <v>936</v>
      </c>
      <c r="F6" s="28" t="s">
        <v>937</v>
      </c>
      <c r="G6" s="28" t="s">
        <v>938</v>
      </c>
      <c r="H6" s="30">
        <v>42510</v>
      </c>
      <c r="I6" s="31" t="s">
        <v>939</v>
      </c>
      <c r="J6" s="32" t="s">
        <v>935</v>
      </c>
      <c r="K6" s="17" t="str">
        <f>Table2[[#This Row],[name]]</f>
        <v xml:space="preserve">Association for Cultural, Technical and Educational Cooperation </v>
      </c>
    </row>
    <row r="7" spans="2:11" hidden="1" x14ac:dyDescent="0.25">
      <c r="B7" s="27">
        <v>4</v>
      </c>
      <c r="C7" s="28" t="s">
        <v>940</v>
      </c>
      <c r="D7" s="29" t="s">
        <v>941</v>
      </c>
      <c r="E7" s="29" t="s">
        <v>936</v>
      </c>
      <c r="F7" s="28" t="s">
        <v>937</v>
      </c>
      <c r="G7" s="28" t="s">
        <v>938</v>
      </c>
      <c r="H7" s="30">
        <v>42510</v>
      </c>
      <c r="I7" s="31" t="s">
        <v>942</v>
      </c>
      <c r="J7" s="32" t="s">
        <v>941</v>
      </c>
      <c r="K7" s="17" t="str">
        <f>Table2[[#This Row],[name]]</f>
        <v>ACV-CSC International</v>
      </c>
    </row>
    <row r="8" spans="2:11" ht="30" hidden="1" x14ac:dyDescent="0.25">
      <c r="B8" s="27">
        <v>5</v>
      </c>
      <c r="C8" s="28" t="s">
        <v>943</v>
      </c>
      <c r="D8" s="29" t="s">
        <v>944</v>
      </c>
      <c r="E8" s="29" t="s">
        <v>936</v>
      </c>
      <c r="F8" s="28" t="s">
        <v>937</v>
      </c>
      <c r="G8" s="28" t="s">
        <v>938</v>
      </c>
      <c r="H8" s="30">
        <v>42510</v>
      </c>
      <c r="I8" s="31" t="s">
        <v>945</v>
      </c>
      <c r="J8" s="32" t="s">
        <v>944</v>
      </c>
      <c r="K8" s="17" t="str">
        <f>Table2[[#This Row],[name]]</f>
        <v>Damiaanactie  
Action Damien</v>
      </c>
    </row>
    <row r="9" spans="2:11" ht="30" hidden="1" x14ac:dyDescent="0.25">
      <c r="B9" s="27">
        <v>6</v>
      </c>
      <c r="C9" s="28" t="s">
        <v>946</v>
      </c>
      <c r="D9" s="29" t="s">
        <v>947</v>
      </c>
      <c r="E9" s="29" t="s">
        <v>936</v>
      </c>
      <c r="F9" s="28" t="s">
        <v>937</v>
      </c>
      <c r="G9" s="28" t="s">
        <v>938</v>
      </c>
      <c r="H9" s="30">
        <v>42510</v>
      </c>
      <c r="I9" s="31" t="s">
        <v>948</v>
      </c>
      <c r="J9" s="33" t="s">
        <v>949</v>
      </c>
      <c r="K9" s="17" t="str">
        <f>Table2[[#This Row],[name]]</f>
        <v>Auto-Développement Afrique
Zelf-Ontwikkeling Afrika</v>
      </c>
    </row>
    <row r="10" spans="2:11" x14ac:dyDescent="0.25">
      <c r="B10" s="27">
        <v>7</v>
      </c>
      <c r="C10" s="28" t="s">
        <v>950</v>
      </c>
      <c r="D10" s="29" t="s">
        <v>950</v>
      </c>
      <c r="E10" s="29" t="s">
        <v>951</v>
      </c>
      <c r="F10" s="28" t="s">
        <v>952</v>
      </c>
      <c r="G10" s="28" t="s">
        <v>953</v>
      </c>
      <c r="H10" s="30">
        <v>42510</v>
      </c>
      <c r="I10" s="31" t="s">
        <v>954</v>
      </c>
      <c r="J10" s="32" t="s">
        <v>950</v>
      </c>
      <c r="K10" s="17" t="str">
        <f>Table2[[#This Row],[name]]</f>
        <v>AFRICALIA</v>
      </c>
    </row>
    <row r="11" spans="2:11" ht="45" x14ac:dyDescent="0.25">
      <c r="B11" s="27">
        <v>8</v>
      </c>
      <c r="C11" s="28" t="s">
        <v>955</v>
      </c>
      <c r="D11" s="29" t="s">
        <v>956</v>
      </c>
      <c r="E11" s="29" t="s">
        <v>951</v>
      </c>
      <c r="F11" s="28" t="s">
        <v>952</v>
      </c>
      <c r="G11" s="28" t="s">
        <v>953</v>
      </c>
      <c r="H11" s="30">
        <v>42510</v>
      </c>
      <c r="I11" s="31" t="s">
        <v>957</v>
      </c>
      <c r="J11" s="32" t="s">
        <v>956</v>
      </c>
      <c r="K11" s="17" t="str">
        <f>Table2[[#This Row],[name]]</f>
        <v>Association pour la Promotion de l'Education et de la Formation à l'Etranger</v>
      </c>
    </row>
    <row r="12" spans="2:11" ht="30" hidden="1" x14ac:dyDescent="0.25">
      <c r="B12" s="27">
        <v>9</v>
      </c>
      <c r="C12" s="28" t="s">
        <v>958</v>
      </c>
      <c r="D12" s="29" t="s">
        <v>959</v>
      </c>
      <c r="E12" s="29" t="s">
        <v>936</v>
      </c>
      <c r="F12" s="28" t="s">
        <v>937</v>
      </c>
      <c r="G12" s="28" t="s">
        <v>938</v>
      </c>
      <c r="H12" s="30" t="s">
        <v>960</v>
      </c>
      <c r="I12" s="34" t="s">
        <v>961</v>
      </c>
      <c r="J12" s="32" t="s">
        <v>959</v>
      </c>
      <c r="K12" s="17" t="str">
        <f>Table2[[#This Row],[name]]</f>
        <v xml:space="preserve">Anti-Persoonsmijnen Ontmijnende ProductOntwikkeling </v>
      </c>
    </row>
    <row r="13" spans="2:11" ht="30" x14ac:dyDescent="0.25">
      <c r="B13" s="27">
        <v>10</v>
      </c>
      <c r="C13" s="28" t="s">
        <v>962</v>
      </c>
      <c r="D13" s="29" t="s">
        <v>963</v>
      </c>
      <c r="E13" s="29" t="s">
        <v>951</v>
      </c>
      <c r="F13" s="28" t="s">
        <v>952</v>
      </c>
      <c r="G13" s="28" t="s">
        <v>953</v>
      </c>
      <c r="H13" s="30">
        <v>42510</v>
      </c>
      <c r="I13" s="31" t="s">
        <v>964</v>
      </c>
      <c r="J13" s="32" t="s">
        <v>963</v>
      </c>
      <c r="K13" s="17" t="str">
        <f>Table2[[#This Row],[name]]</f>
        <v>Académie de Recherche et d'Enseignement supérieur</v>
      </c>
    </row>
    <row r="14" spans="2:11" hidden="1" x14ac:dyDescent="0.25">
      <c r="B14" s="27">
        <v>11</v>
      </c>
      <c r="C14" s="28" t="s">
        <v>965</v>
      </c>
      <c r="D14" s="29" t="s">
        <v>966</v>
      </c>
      <c r="E14" s="29" t="s">
        <v>936</v>
      </c>
      <c r="F14" s="28" t="s">
        <v>937</v>
      </c>
      <c r="G14" s="28" t="s">
        <v>938</v>
      </c>
      <c r="H14" s="30">
        <v>42510</v>
      </c>
      <c r="I14" s="31" t="s">
        <v>967</v>
      </c>
      <c r="J14" s="32" t="s">
        <v>966</v>
      </c>
      <c r="K14" s="17" t="str">
        <f>Table2[[#This Row],[name]]</f>
        <v>Avocats Sans Frontières</v>
      </c>
    </row>
    <row r="15" spans="2:11" hidden="1" x14ac:dyDescent="0.25">
      <c r="B15" s="27">
        <v>12</v>
      </c>
      <c r="C15" s="28" t="s">
        <v>968</v>
      </c>
      <c r="D15" s="29" t="s">
        <v>969</v>
      </c>
      <c r="E15" s="29" t="s">
        <v>936</v>
      </c>
      <c r="F15" s="28" t="s">
        <v>937</v>
      </c>
      <c r="G15" s="28" t="s">
        <v>938</v>
      </c>
      <c r="H15" s="30">
        <v>42510</v>
      </c>
      <c r="I15" s="31" t="s">
        <v>970</v>
      </c>
      <c r="J15" s="32" t="s">
        <v>969</v>
      </c>
      <c r="K15" s="17" t="str">
        <f>Table2[[#This Row],[name]]</f>
        <v>Autre Terre</v>
      </c>
    </row>
    <row r="16" spans="2:11" ht="30" hidden="1" x14ac:dyDescent="0.25">
      <c r="B16" s="27">
        <v>13</v>
      </c>
      <c r="C16" s="28" t="s">
        <v>971</v>
      </c>
      <c r="D16" s="29" t="s">
        <v>972</v>
      </c>
      <c r="E16" s="29" t="s">
        <v>936</v>
      </c>
      <c r="F16" s="28" t="s">
        <v>937</v>
      </c>
      <c r="G16" s="28" t="s">
        <v>938</v>
      </c>
      <c r="H16" s="30">
        <v>42510</v>
      </c>
      <c r="I16" s="31" t="s">
        <v>973</v>
      </c>
      <c r="J16" s="32" t="s">
        <v>974</v>
      </c>
      <c r="K16" s="17" t="str">
        <f>Table2[[#This Row],[name]]</f>
        <v>Artsen Zonder Vakantie
Médecins Sans Vacances</v>
      </c>
    </row>
    <row r="17" spans="2:14" hidden="1" x14ac:dyDescent="0.25">
      <c r="B17" s="27">
        <v>14</v>
      </c>
      <c r="C17" s="28" t="s">
        <v>975</v>
      </c>
      <c r="D17" s="29" t="s">
        <v>976</v>
      </c>
      <c r="E17" s="29" t="s">
        <v>936</v>
      </c>
      <c r="F17" s="28" t="s">
        <v>937</v>
      </c>
      <c r="G17" s="28" t="s">
        <v>938</v>
      </c>
      <c r="H17" s="30">
        <v>42510</v>
      </c>
      <c r="I17" s="31" t="s">
        <v>977</v>
      </c>
      <c r="J17" s="32" t="s">
        <v>976</v>
      </c>
      <c r="K17" s="17" t="str">
        <f>Table2[[#This Row],[name]]</f>
        <v>Benelux Afro Center</v>
      </c>
    </row>
    <row r="18" spans="2:14" hidden="1" x14ac:dyDescent="0.25">
      <c r="B18" s="27">
        <v>15</v>
      </c>
      <c r="C18" s="28" t="s">
        <v>978</v>
      </c>
      <c r="D18" s="29" t="s">
        <v>979</v>
      </c>
      <c r="E18" s="29" t="s">
        <v>936</v>
      </c>
      <c r="F18" s="28" t="s">
        <v>937</v>
      </c>
      <c r="G18" s="28" t="s">
        <v>938</v>
      </c>
      <c r="H18" s="30">
        <v>42510</v>
      </c>
      <c r="I18" s="31" t="s">
        <v>980</v>
      </c>
      <c r="J18" s="32" t="s">
        <v>979</v>
      </c>
      <c r="K18" s="17" t="str">
        <f>Table2[[#This Row],[name]]</f>
        <v>Broederlijk Delen</v>
      </c>
    </row>
    <row r="19" spans="2:14" hidden="1" x14ac:dyDescent="0.25">
      <c r="B19" s="27">
        <v>16</v>
      </c>
      <c r="C19" s="28" t="s">
        <v>981</v>
      </c>
      <c r="D19" s="29" t="s">
        <v>982</v>
      </c>
      <c r="E19" s="29" t="s">
        <v>936</v>
      </c>
      <c r="F19" s="28" t="s">
        <v>937</v>
      </c>
      <c r="G19" s="28" t="s">
        <v>938</v>
      </c>
      <c r="H19" s="30">
        <v>42510</v>
      </c>
      <c r="I19" s="28" t="s">
        <v>983</v>
      </c>
      <c r="J19" s="32" t="s">
        <v>984</v>
      </c>
      <c r="K19" s="17" t="str">
        <f>Table2[[#This Row],[name]]</f>
        <v>BOS+tropen</v>
      </c>
    </row>
    <row r="20" spans="2:14" ht="75" x14ac:dyDescent="0.25">
      <c r="B20" s="27">
        <v>17</v>
      </c>
      <c r="C20" s="28" t="s">
        <v>985</v>
      </c>
      <c r="D20" s="29" t="s">
        <v>986</v>
      </c>
      <c r="E20" s="29" t="s">
        <v>951</v>
      </c>
      <c r="F20" s="28" t="s">
        <v>952</v>
      </c>
      <c r="G20" s="28" t="s">
        <v>953</v>
      </c>
      <c r="H20" s="30">
        <v>42510</v>
      </c>
      <c r="I20" s="31" t="s">
        <v>987</v>
      </c>
      <c r="J20" s="32" t="s">
        <v>986</v>
      </c>
      <c r="K20" s="17" t="str">
        <f>Table2[[#This Row],[name]]</f>
        <v>Association de la Ville et des Communes de la Région de Bruxelles-Capitale/Vereniging van de Stad en de Gemeenten van het Brusselse Hoofdstedelijk Gewest</v>
      </c>
    </row>
    <row r="21" spans="2:14" ht="30" hidden="1" x14ac:dyDescent="0.25">
      <c r="B21" s="27">
        <v>18</v>
      </c>
      <c r="C21" s="28" t="s">
        <v>988</v>
      </c>
      <c r="D21" s="29" t="s">
        <v>989</v>
      </c>
      <c r="E21" s="29" t="s">
        <v>936</v>
      </c>
      <c r="F21" s="28" t="s">
        <v>937</v>
      </c>
      <c r="G21" s="28" t="s">
        <v>938</v>
      </c>
      <c r="H21" s="30">
        <v>42510</v>
      </c>
      <c r="I21" s="31" t="s">
        <v>990</v>
      </c>
      <c r="J21" s="32" t="s">
        <v>989</v>
      </c>
      <c r="K21" s="17" t="str">
        <f>Table2[[#This Row],[name]]</f>
        <v>Comité pour l'abolition des Dettes illégitimes</v>
      </c>
    </row>
    <row r="22" spans="2:14" hidden="1" x14ac:dyDescent="0.25">
      <c r="B22" s="27">
        <v>19</v>
      </c>
      <c r="C22" s="28" t="s">
        <v>991</v>
      </c>
      <c r="D22" s="29" t="s">
        <v>992</v>
      </c>
      <c r="E22" s="29" t="s">
        <v>936</v>
      </c>
      <c r="F22" s="28" t="s">
        <v>937</v>
      </c>
      <c r="G22" s="28" t="s">
        <v>938</v>
      </c>
      <c r="H22" s="30">
        <v>42510</v>
      </c>
      <c r="I22" s="31" t="s">
        <v>993</v>
      </c>
      <c r="J22" s="32" t="s">
        <v>992</v>
      </c>
      <c r="K22" s="17" t="str">
        <f>Table2[[#This Row],[name]]</f>
        <v>Caritas International Belgique</v>
      </c>
    </row>
    <row r="23" spans="2:14" ht="30" hidden="1" x14ac:dyDescent="0.25">
      <c r="B23" s="27">
        <v>20</v>
      </c>
      <c r="C23" s="28" t="s">
        <v>994</v>
      </c>
      <c r="D23" s="29" t="s">
        <v>995</v>
      </c>
      <c r="E23" s="29" t="s">
        <v>936</v>
      </c>
      <c r="F23" s="28" t="s">
        <v>937</v>
      </c>
      <c r="G23" s="28" t="s">
        <v>938</v>
      </c>
      <c r="H23" s="30">
        <v>42510</v>
      </c>
      <c r="I23" s="31" t="s">
        <v>996</v>
      </c>
      <c r="J23" s="32" t="s">
        <v>997</v>
      </c>
      <c r="K23" s="17" t="str">
        <f>Table2[[#This Row],[name]]</f>
        <v>Chaîne de l'Espoir Belgique
Keten Van hoop Belgïe</v>
      </c>
      <c r="N23" s="17" t="str">
        <f>"a"&amp;CHAR(10)&amp;"b"</f>
        <v>a
b</v>
      </c>
    </row>
    <row r="24" spans="2:14" ht="30" hidden="1" x14ac:dyDescent="0.25">
      <c r="B24" s="27">
        <v>21</v>
      </c>
      <c r="C24" s="28" t="s">
        <v>998</v>
      </c>
      <c r="D24" s="29" t="s">
        <v>999</v>
      </c>
      <c r="E24" s="29" t="s">
        <v>936</v>
      </c>
      <c r="F24" s="28" t="s">
        <v>937</v>
      </c>
      <c r="G24" s="28" t="s">
        <v>938</v>
      </c>
      <c r="H24" s="30">
        <v>42510</v>
      </c>
      <c r="I24" s="31" t="s">
        <v>1000</v>
      </c>
      <c r="J24" s="32" t="s">
        <v>999</v>
      </c>
      <c r="K24" s="17" t="str">
        <f>Table2[[#This Row],[name]]</f>
        <v>Coopération par l'Education et la Culture</v>
      </c>
    </row>
    <row r="25" spans="2:14" hidden="1" x14ac:dyDescent="0.25">
      <c r="B25" s="27">
        <v>22</v>
      </c>
      <c r="C25" s="28" t="s">
        <v>1001</v>
      </c>
      <c r="D25" s="29" t="s">
        <v>1002</v>
      </c>
      <c r="E25" s="29" t="s">
        <v>936</v>
      </c>
      <c r="F25" s="28" t="s">
        <v>937</v>
      </c>
      <c r="G25" s="28" t="s">
        <v>938</v>
      </c>
      <c r="H25" s="30">
        <v>42510</v>
      </c>
      <c r="I25" s="31" t="s">
        <v>1003</v>
      </c>
      <c r="J25" s="32" t="s">
        <v>1002</v>
      </c>
      <c r="K25" s="17" t="str">
        <f>Table2[[#This Row],[name]]</f>
        <v>Centre Tricontinental</v>
      </c>
    </row>
    <row r="26" spans="2:14" hidden="1" x14ac:dyDescent="0.25">
      <c r="B26" s="27">
        <v>23</v>
      </c>
      <c r="C26" s="28" t="s">
        <v>1004</v>
      </c>
      <c r="D26" s="29" t="s">
        <v>1005</v>
      </c>
      <c r="E26" s="29" t="s">
        <v>936</v>
      </c>
      <c r="F26" s="28" t="s">
        <v>937</v>
      </c>
      <c r="G26" s="28" t="s">
        <v>938</v>
      </c>
      <c r="H26" s="30">
        <v>42510</v>
      </c>
      <c r="I26" s="31" t="s">
        <v>1006</v>
      </c>
      <c r="J26" s="32" t="s">
        <v>1005</v>
      </c>
      <c r="K26" s="17" t="str">
        <f>Table2[[#This Row],[name]]</f>
        <v>Commission Justice et Paix</v>
      </c>
    </row>
    <row r="27" spans="2:14" ht="30" hidden="1" x14ac:dyDescent="0.25">
      <c r="B27" s="27">
        <v>24</v>
      </c>
      <c r="C27" s="28" t="s">
        <v>1007</v>
      </c>
      <c r="D27" s="29" t="s">
        <v>1008</v>
      </c>
      <c r="E27" s="29" t="s">
        <v>924</v>
      </c>
      <c r="F27" s="28" t="s">
        <v>925</v>
      </c>
      <c r="G27" s="28" t="s">
        <v>926</v>
      </c>
      <c r="H27" s="30">
        <v>42510</v>
      </c>
      <c r="I27" s="31" t="s">
        <v>1009</v>
      </c>
      <c r="J27" s="32" t="s">
        <v>1008</v>
      </c>
      <c r="K27" s="17" t="str">
        <f>Table2[[#This Row],[name]]</f>
        <v>Centre National de Coopération au Développement</v>
      </c>
    </row>
    <row r="28" spans="2:14" ht="30" hidden="1" x14ac:dyDescent="0.25">
      <c r="B28" s="27">
        <v>25</v>
      </c>
      <c r="C28" s="28" t="s">
        <v>1010</v>
      </c>
      <c r="D28" s="29" t="s">
        <v>1011</v>
      </c>
      <c r="E28" s="29" t="s">
        <v>936</v>
      </c>
      <c r="F28" s="28" t="s">
        <v>937</v>
      </c>
      <c r="G28" s="28" t="s">
        <v>938</v>
      </c>
      <c r="H28" s="30">
        <v>43668</v>
      </c>
      <c r="I28" s="28" t="s">
        <v>1012</v>
      </c>
      <c r="J28" s="32" t="s">
        <v>1011</v>
      </c>
      <c r="K28" s="17" t="str">
        <f>Table2[[#This Row],[name]]</f>
        <v>Coopération au Développement de l'Artisanat</v>
      </c>
    </row>
    <row r="29" spans="2:14" ht="30" hidden="1" x14ac:dyDescent="0.25">
      <c r="B29" s="27">
        <v>26</v>
      </c>
      <c r="C29" s="28" t="s">
        <v>1013</v>
      </c>
      <c r="D29" s="29" t="s">
        <v>1014</v>
      </c>
      <c r="E29" s="29" t="s">
        <v>936</v>
      </c>
      <c r="F29" s="28" t="s">
        <v>937</v>
      </c>
      <c r="G29" s="28" t="s">
        <v>938</v>
      </c>
      <c r="H29" s="30">
        <v>42510</v>
      </c>
      <c r="I29" s="31" t="s">
        <v>1015</v>
      </c>
      <c r="J29" s="32" t="s">
        <v>1014</v>
      </c>
      <c r="K29" s="17" t="str">
        <f>Table2[[#This Row],[name]]</f>
        <v>Congodorpen</v>
      </c>
    </row>
    <row r="30" spans="2:14" ht="30" hidden="1" x14ac:dyDescent="0.25">
      <c r="B30" s="27">
        <v>27</v>
      </c>
      <c r="C30" s="28" t="s">
        <v>1016</v>
      </c>
      <c r="D30" s="29" t="s">
        <v>1017</v>
      </c>
      <c r="E30" s="29" t="s">
        <v>936</v>
      </c>
      <c r="F30" s="28" t="s">
        <v>937</v>
      </c>
      <c r="G30" s="28" t="s">
        <v>938</v>
      </c>
      <c r="H30" s="30" t="s">
        <v>960</v>
      </c>
      <c r="I30" s="34" t="s">
        <v>1018</v>
      </c>
      <c r="J30" s="32" t="s">
        <v>1017</v>
      </c>
      <c r="K30" s="17" t="str">
        <f>Table2[[#This Row],[name]]</f>
        <v>Collectif d'Echanges pour la Technologie appropriée</v>
      </c>
    </row>
    <row r="31" spans="2:14" ht="45" hidden="1" x14ac:dyDescent="0.25">
      <c r="B31" s="27">
        <v>28</v>
      </c>
      <c r="C31" s="28" t="s">
        <v>1019</v>
      </c>
      <c r="D31" s="29" t="s">
        <v>1020</v>
      </c>
      <c r="E31" s="29" t="s">
        <v>936</v>
      </c>
      <c r="F31" s="28" t="s">
        <v>937</v>
      </c>
      <c r="G31" s="28" t="s">
        <v>938</v>
      </c>
      <c r="H31" s="30">
        <v>42510</v>
      </c>
      <c r="I31" s="31" t="s">
        <v>1021</v>
      </c>
      <c r="J31" s="32" t="s">
        <v>1020</v>
      </c>
      <c r="K31" s="17" t="str">
        <f>Table2[[#This Row],[name]]</f>
        <v>Croix-Rouge de Belgique Communauté francophone - Activités internationales</v>
      </c>
    </row>
    <row r="32" spans="2:14" hidden="1" x14ac:dyDescent="0.25">
      <c r="B32" s="27">
        <v>29</v>
      </c>
      <c r="C32" s="28" t="s">
        <v>1022</v>
      </c>
      <c r="D32" s="29" t="s">
        <v>1023</v>
      </c>
      <c r="E32" s="29" t="s">
        <v>936</v>
      </c>
      <c r="F32" s="28" t="s">
        <v>937</v>
      </c>
      <c r="G32" s="28" t="s">
        <v>938</v>
      </c>
      <c r="H32" s="30">
        <v>42510</v>
      </c>
      <c r="I32" s="31" t="s">
        <v>1024</v>
      </c>
      <c r="J32" s="32" t="s">
        <v>1023</v>
      </c>
      <c r="K32" s="17" t="str">
        <f>Table2[[#This Row],[name]]</f>
        <v>Collectif Stratégies Alimentaires</v>
      </c>
    </row>
    <row r="33" spans="2:11" hidden="1" x14ac:dyDescent="0.25">
      <c r="B33" s="27">
        <v>30</v>
      </c>
      <c r="C33" s="28" t="s">
        <v>1025</v>
      </c>
      <c r="D33" s="29" t="s">
        <v>1026</v>
      </c>
      <c r="E33" s="29" t="s">
        <v>936</v>
      </c>
      <c r="F33" s="28" t="s">
        <v>937</v>
      </c>
      <c r="G33" s="28" t="s">
        <v>938</v>
      </c>
      <c r="H33" s="30">
        <v>42510</v>
      </c>
      <c r="I33" s="31" t="s">
        <v>1027</v>
      </c>
      <c r="J33" s="32" t="s">
        <v>1026</v>
      </c>
      <c r="K33" s="17" t="str">
        <f>Table2[[#This Row],[name]]</f>
        <v>Défi Belgique Afrique</v>
      </c>
    </row>
    <row r="34" spans="2:11" hidden="1" x14ac:dyDescent="0.25">
      <c r="B34" s="27">
        <v>31</v>
      </c>
      <c r="C34" s="28" t="s">
        <v>1028</v>
      </c>
      <c r="D34" s="29" t="s">
        <v>1029</v>
      </c>
      <c r="E34" s="29" t="s">
        <v>936</v>
      </c>
      <c r="F34" s="28" t="s">
        <v>937</v>
      </c>
      <c r="G34" s="28" t="s">
        <v>938</v>
      </c>
      <c r="H34" s="30">
        <v>42510</v>
      </c>
      <c r="I34" s="31" t="s">
        <v>1030</v>
      </c>
      <c r="J34" s="32" t="s">
        <v>1029</v>
      </c>
      <c r="K34" s="17" t="str">
        <f>Table2[[#This Row],[name]]</f>
        <v xml:space="preserve">Djapo </v>
      </c>
    </row>
    <row r="35" spans="2:11" hidden="1" x14ac:dyDescent="0.25">
      <c r="B35" s="27">
        <v>32</v>
      </c>
      <c r="C35" s="28" t="s">
        <v>1031</v>
      </c>
      <c r="D35" s="29" t="s">
        <v>1032</v>
      </c>
      <c r="E35" s="29" t="s">
        <v>936</v>
      </c>
      <c r="F35" s="28" t="s">
        <v>937</v>
      </c>
      <c r="G35" s="28" t="s">
        <v>938</v>
      </c>
      <c r="H35" s="30">
        <v>42510</v>
      </c>
      <c r="I35" s="31" t="s">
        <v>1033</v>
      </c>
      <c r="J35" s="32" t="s">
        <v>1032</v>
      </c>
      <c r="K35" s="17" t="str">
        <f>Table2[[#This Row],[name]]</f>
        <v>Dynamo International</v>
      </c>
    </row>
    <row r="36" spans="2:11" hidden="1" x14ac:dyDescent="0.25">
      <c r="B36" s="27">
        <v>33</v>
      </c>
      <c r="C36" s="28" t="s">
        <v>1034</v>
      </c>
      <c r="D36" s="29" t="s">
        <v>1035</v>
      </c>
      <c r="E36" s="29" t="s">
        <v>936</v>
      </c>
      <c r="F36" s="28" t="s">
        <v>937</v>
      </c>
      <c r="G36" s="28" t="s">
        <v>938</v>
      </c>
      <c r="H36" s="30">
        <v>42510</v>
      </c>
      <c r="I36" s="31" t="s">
        <v>1036</v>
      </c>
      <c r="J36" s="32" t="s">
        <v>1037</v>
      </c>
      <c r="K36" s="17" t="str">
        <f>Table2[[#This Row],[name]]</f>
        <v>Echo Communication</v>
      </c>
    </row>
    <row r="37" spans="2:11" hidden="1" x14ac:dyDescent="0.25">
      <c r="B37" s="27">
        <v>34</v>
      </c>
      <c r="C37" s="28" t="s">
        <v>1038</v>
      </c>
      <c r="D37" s="29" t="s">
        <v>1039</v>
      </c>
      <c r="E37" s="29" t="s">
        <v>936</v>
      </c>
      <c r="F37" s="28" t="s">
        <v>937</v>
      </c>
      <c r="G37" s="28" t="s">
        <v>938</v>
      </c>
      <c r="H37" s="30">
        <v>42510</v>
      </c>
      <c r="I37" s="31" t="s">
        <v>1040</v>
      </c>
      <c r="J37" s="32" t="s">
        <v>1039</v>
      </c>
      <c r="K37" s="17" t="str">
        <f>Table2[[#This Row],[name]]</f>
        <v>Eclosio</v>
      </c>
    </row>
    <row r="38" spans="2:11" hidden="1" x14ac:dyDescent="0.25">
      <c r="B38" s="27">
        <v>35</v>
      </c>
      <c r="C38" s="28" t="s">
        <v>1041</v>
      </c>
      <c r="D38" s="29" t="s">
        <v>1042</v>
      </c>
      <c r="E38" s="29" t="s">
        <v>936</v>
      </c>
      <c r="F38" s="28" t="s">
        <v>937</v>
      </c>
      <c r="G38" s="28" t="s">
        <v>938</v>
      </c>
      <c r="H38" s="30">
        <v>42510</v>
      </c>
      <c r="I38" s="31" t="s">
        <v>1043</v>
      </c>
      <c r="J38" s="32" t="s">
        <v>1042</v>
      </c>
      <c r="K38" s="17" t="str">
        <f>Table2[[#This Row],[name]]</f>
        <v>Entraide et Fraternité</v>
      </c>
    </row>
    <row r="39" spans="2:11" ht="30" hidden="1" x14ac:dyDescent="0.25">
      <c r="B39" s="27">
        <v>36</v>
      </c>
      <c r="C39" s="28" t="s">
        <v>1044</v>
      </c>
      <c r="D39" s="29" t="s">
        <v>1045</v>
      </c>
      <c r="E39" s="29" t="s">
        <v>936</v>
      </c>
      <c r="F39" s="28" t="s">
        <v>937</v>
      </c>
      <c r="G39" s="28" t="s">
        <v>938</v>
      </c>
      <c r="H39" s="30">
        <v>42510</v>
      </c>
      <c r="I39" s="31" t="s">
        <v>1046</v>
      </c>
      <c r="J39" s="32" t="s">
        <v>1047</v>
      </c>
      <c r="K39" s="17" t="str">
        <f>Table2[[#This Row],[name]]</f>
        <v>Enfance Tiers Monde
Kinderen Derde-Wereld</v>
      </c>
    </row>
    <row r="40" spans="2:11" hidden="1" x14ac:dyDescent="0.25">
      <c r="B40" s="27">
        <v>37</v>
      </c>
      <c r="C40" s="28" t="s">
        <v>1048</v>
      </c>
      <c r="D40" s="29" t="s">
        <v>1048</v>
      </c>
      <c r="E40" s="29" t="s">
        <v>936</v>
      </c>
      <c r="F40" s="28" t="s">
        <v>937</v>
      </c>
      <c r="G40" s="28" t="s">
        <v>938</v>
      </c>
      <c r="H40" s="30">
        <v>42510</v>
      </c>
      <c r="I40" s="31" t="s">
        <v>1049</v>
      </c>
      <c r="J40" s="32" t="s">
        <v>1050</v>
      </c>
      <c r="K40" s="17" t="str">
        <f>Table2[[#This Row],[name]]</f>
        <v>Fairtrade Belgium</v>
      </c>
    </row>
    <row r="41" spans="2:11" hidden="1" x14ac:dyDescent="0.25">
      <c r="B41" s="27">
        <v>42</v>
      </c>
      <c r="C41" s="28" t="s">
        <v>1051</v>
      </c>
      <c r="D41" s="29" t="s">
        <v>1052</v>
      </c>
      <c r="E41" s="29" t="s">
        <v>936</v>
      </c>
      <c r="F41" s="28" t="s">
        <v>937</v>
      </c>
      <c r="G41" s="28" t="s">
        <v>938</v>
      </c>
      <c r="H41" s="30" t="s">
        <v>960</v>
      </c>
      <c r="I41" s="34" t="s">
        <v>1053</v>
      </c>
      <c r="J41" s="32" t="s">
        <v>1052</v>
      </c>
      <c r="K41" s="17" t="str">
        <f>Table2[[#This Row],[name]]</f>
        <v>Frères des Hommes</v>
      </c>
    </row>
    <row r="42" spans="2:11" ht="45" hidden="1" x14ac:dyDescent="0.25">
      <c r="B42" s="27">
        <v>38</v>
      </c>
      <c r="C42" s="28" t="s">
        <v>1054</v>
      </c>
      <c r="D42" s="29" t="s">
        <v>1055</v>
      </c>
      <c r="E42" s="29" t="s">
        <v>930</v>
      </c>
      <c r="F42" s="28" t="s">
        <v>931</v>
      </c>
      <c r="G42" s="28" t="s">
        <v>932</v>
      </c>
      <c r="H42" s="30">
        <v>42616</v>
      </c>
      <c r="I42" s="31" t="s">
        <v>1056</v>
      </c>
      <c r="J42" s="32" t="s">
        <v>1055</v>
      </c>
      <c r="K42" s="17" t="str">
        <f>Table2[[#This Row],[name]]</f>
        <v>Federatie van Institutionele Actoren Belgïe / Fédération des Acteurs Institutionnels Belgique</v>
      </c>
    </row>
    <row r="43" spans="2:11" hidden="1" x14ac:dyDescent="0.25">
      <c r="B43" s="27">
        <v>39</v>
      </c>
      <c r="C43" s="28" t="s">
        <v>1057</v>
      </c>
      <c r="D43" s="29" t="s">
        <v>1058</v>
      </c>
      <c r="E43" s="29" t="s">
        <v>936</v>
      </c>
      <c r="F43" s="28" t="s">
        <v>937</v>
      </c>
      <c r="G43" s="28" t="s">
        <v>938</v>
      </c>
      <c r="H43" s="30">
        <v>42510</v>
      </c>
      <c r="I43" s="28" t="s">
        <v>1059</v>
      </c>
      <c r="J43" s="32" t="s">
        <v>1058</v>
      </c>
      <c r="K43" s="17" t="str">
        <f>Table2[[#This Row],[name]]</f>
        <v>FIAN-Belgium</v>
      </c>
    </row>
    <row r="44" spans="2:11" ht="30" hidden="1" x14ac:dyDescent="0.25">
      <c r="B44" s="27">
        <v>40</v>
      </c>
      <c r="C44" s="28" t="s">
        <v>1060</v>
      </c>
      <c r="D44" s="29" t="s">
        <v>1061</v>
      </c>
      <c r="E44" s="29" t="s">
        <v>936</v>
      </c>
      <c r="F44" s="28" t="s">
        <v>937</v>
      </c>
      <c r="G44" s="28" t="s">
        <v>938</v>
      </c>
      <c r="H44" s="30">
        <v>42510</v>
      </c>
      <c r="I44" s="31" t="s">
        <v>1062</v>
      </c>
      <c r="J44" s="32" t="s">
        <v>1063</v>
      </c>
      <c r="K44" s="17" t="str">
        <f>Table2[[#This Row],[name]]</f>
        <v>Formation de cadres africains
Kadervorming voor Afrikanen</v>
      </c>
    </row>
    <row r="45" spans="2:11" ht="45" hidden="1" x14ac:dyDescent="0.25">
      <c r="B45" s="27">
        <v>41</v>
      </c>
      <c r="C45" s="28" t="s">
        <v>1064</v>
      </c>
      <c r="D45" s="29" t="s">
        <v>1065</v>
      </c>
      <c r="E45" s="29" t="s">
        <v>936</v>
      </c>
      <c r="F45" s="28" t="s">
        <v>937</v>
      </c>
      <c r="G45" s="28" t="s">
        <v>938</v>
      </c>
      <c r="H45" s="30">
        <v>42510</v>
      </c>
      <c r="I45" s="31" t="s">
        <v>1066</v>
      </c>
      <c r="J45" s="32" t="s">
        <v>1065</v>
      </c>
      <c r="K45" s="17" t="str">
        <f>Table2[[#This Row],[name]]</f>
        <v>Fonds voor Ontwikkelingssamenwerking - Socialistische Solidariteit</v>
      </c>
    </row>
    <row r="46" spans="2:11" ht="45" hidden="1" x14ac:dyDescent="0.25">
      <c r="B46" s="27">
        <v>43</v>
      </c>
      <c r="C46" s="28" t="s">
        <v>1067</v>
      </c>
      <c r="D46" s="29" t="s">
        <v>1068</v>
      </c>
      <c r="E46" s="29" t="s">
        <v>936</v>
      </c>
      <c r="F46" s="28" t="s">
        <v>937</v>
      </c>
      <c r="G46" s="28" t="s">
        <v>938</v>
      </c>
      <c r="H46" s="30">
        <v>42510</v>
      </c>
      <c r="I46" s="31" t="s">
        <v>1069</v>
      </c>
      <c r="J46" s="32" t="s">
        <v>1068</v>
      </c>
      <c r="K46" s="17" t="str">
        <f>Table2[[#This Row],[name]]</f>
        <v>Forum Universitaire pour la Coopération Internationale au Développement</v>
      </c>
    </row>
    <row r="47" spans="2:11" hidden="1" x14ac:dyDescent="0.25">
      <c r="B47" s="27">
        <v>44</v>
      </c>
      <c r="C47" s="28" t="s">
        <v>1070</v>
      </c>
      <c r="D47" s="29" t="s">
        <v>1070</v>
      </c>
      <c r="E47" s="29" t="s">
        <v>936</v>
      </c>
      <c r="F47" s="28" t="s">
        <v>937</v>
      </c>
      <c r="G47" s="28" t="s">
        <v>938</v>
      </c>
      <c r="H47" s="30">
        <v>42510</v>
      </c>
      <c r="I47" s="31" t="s">
        <v>1071</v>
      </c>
      <c r="J47" s="32" t="s">
        <v>1070</v>
      </c>
      <c r="K47" s="17" t="str">
        <f>Table2[[#This Row],[name]]</f>
        <v>GEOMOUN</v>
      </c>
    </row>
    <row r="48" spans="2:11" hidden="1" x14ac:dyDescent="0.25">
      <c r="B48" s="27">
        <v>45</v>
      </c>
      <c r="C48" s="28" t="s">
        <v>1072</v>
      </c>
      <c r="D48" s="29" t="s">
        <v>1073</v>
      </c>
      <c r="E48" s="29" t="s">
        <v>936</v>
      </c>
      <c r="F48" s="28" t="s">
        <v>937</v>
      </c>
      <c r="G48" s="28" t="s">
        <v>938</v>
      </c>
      <c r="H48" s="30">
        <v>42510</v>
      </c>
      <c r="I48" s="31" t="s">
        <v>1074</v>
      </c>
      <c r="J48" s="32" t="s">
        <v>1073</v>
      </c>
      <c r="K48" s="17" t="str">
        <f>Table2[[#This Row],[name]]</f>
        <v>Humanity &amp; Inclusion</v>
      </c>
    </row>
    <row r="49" spans="2:11" ht="45" hidden="1" x14ac:dyDescent="0.25">
      <c r="B49" s="27">
        <v>46</v>
      </c>
      <c r="C49" s="28" t="s">
        <v>1075</v>
      </c>
      <c r="D49" s="29" t="s">
        <v>1076</v>
      </c>
      <c r="E49" s="29" t="s">
        <v>936</v>
      </c>
      <c r="F49" s="28" t="s">
        <v>937</v>
      </c>
      <c r="G49" s="28" t="s">
        <v>938</v>
      </c>
      <c r="H49" s="30">
        <v>42510</v>
      </c>
      <c r="I49" s="31" t="s">
        <v>1077</v>
      </c>
      <c r="J49" s="32" t="s">
        <v>1078</v>
      </c>
      <c r="K49" s="17" t="str">
        <f>Table2[[#This Row],[name]]</f>
        <v>Institut de Formation Syndicale Internationale - Internationaal Syndicaal Vormingsinstituut</v>
      </c>
    </row>
    <row r="50" spans="2:11" hidden="1" x14ac:dyDescent="0.25">
      <c r="B50" s="27">
        <v>47</v>
      </c>
      <c r="C50" s="28" t="s">
        <v>1079</v>
      </c>
      <c r="D50" s="29" t="s">
        <v>1080</v>
      </c>
      <c r="E50" s="29" t="s">
        <v>936</v>
      </c>
      <c r="F50" s="28" t="s">
        <v>937</v>
      </c>
      <c r="G50" s="28" t="s">
        <v>938</v>
      </c>
      <c r="H50" s="30">
        <v>42510</v>
      </c>
      <c r="I50" s="31" t="s">
        <v>1081</v>
      </c>
      <c r="J50" s="32" t="s">
        <v>1082</v>
      </c>
      <c r="K50" s="17" t="str">
        <f>Table2[[#This Row],[name]]</f>
        <v>Les Amis des Iles de Paix</v>
      </c>
    </row>
    <row r="51" spans="2:11" ht="45" hidden="1" x14ac:dyDescent="0.25">
      <c r="B51" s="27">
        <v>48</v>
      </c>
      <c r="C51" s="28" t="s">
        <v>1083</v>
      </c>
      <c r="D51" s="29" t="s">
        <v>1084</v>
      </c>
      <c r="E51" s="29" t="s">
        <v>936</v>
      </c>
      <c r="F51" s="28" t="s">
        <v>937</v>
      </c>
      <c r="G51" s="28" t="s">
        <v>938</v>
      </c>
      <c r="H51" s="30" t="s">
        <v>960</v>
      </c>
      <c r="I51" s="34" t="s">
        <v>1085</v>
      </c>
      <c r="J51" s="32" t="s">
        <v>1084</v>
      </c>
      <c r="K51" s="17" t="str">
        <f>Table2[[#This Row],[name]]</f>
        <v xml:space="preserve">	Internationale Vredesinformatie Dienst - International Peace Information Service</v>
      </c>
    </row>
    <row r="52" spans="2:11" ht="30" hidden="1" x14ac:dyDescent="0.25">
      <c r="B52" s="27">
        <v>49</v>
      </c>
      <c r="C52" s="28" t="s">
        <v>1086</v>
      </c>
      <c r="D52" s="29" t="s">
        <v>1087</v>
      </c>
      <c r="E52" s="29" t="s">
        <v>936</v>
      </c>
      <c r="F52" s="28" t="s">
        <v>937</v>
      </c>
      <c r="G52" s="28" t="s">
        <v>938</v>
      </c>
      <c r="H52" s="30">
        <v>42510</v>
      </c>
      <c r="I52" s="28" t="s">
        <v>1088</v>
      </c>
      <c r="J52" s="32" t="s">
        <v>1087</v>
      </c>
      <c r="K52" s="17" t="str">
        <f>Table2[[#This Row],[name]]</f>
        <v>ITECO, Centre de formation pour le développement</v>
      </c>
    </row>
    <row r="53" spans="2:11" ht="45" x14ac:dyDescent="0.25">
      <c r="B53" s="27">
        <v>50</v>
      </c>
      <c r="C53" s="28" t="s">
        <v>1089</v>
      </c>
      <c r="D53" s="29" t="s">
        <v>1090</v>
      </c>
      <c r="E53" s="29" t="s">
        <v>951</v>
      </c>
      <c r="F53" s="28" t="s">
        <v>952</v>
      </c>
      <c r="G53" s="28" t="s">
        <v>953</v>
      </c>
      <c r="H53" s="30">
        <v>42510</v>
      </c>
      <c r="I53" s="31" t="s">
        <v>1091</v>
      </c>
      <c r="J53" s="32" t="s">
        <v>1092</v>
      </c>
      <c r="K53" s="17" t="str">
        <f>Table2[[#This Row],[name]]</f>
        <v>Instituut voor Tropische Geneeskunde - 
Institut de Médecine Tropicale</v>
      </c>
    </row>
    <row r="54" spans="2:11" hidden="1" x14ac:dyDescent="0.25">
      <c r="B54" s="27">
        <v>51</v>
      </c>
      <c r="C54" s="35" t="s">
        <v>1093</v>
      </c>
      <c r="D54" s="29" t="s">
        <v>1094</v>
      </c>
      <c r="E54" s="29" t="s">
        <v>936</v>
      </c>
      <c r="F54" s="28" t="s">
        <v>937</v>
      </c>
      <c r="G54" s="28" t="s">
        <v>938</v>
      </c>
      <c r="H54" s="30">
        <v>42510</v>
      </c>
      <c r="I54" s="31" t="s">
        <v>1095</v>
      </c>
      <c r="J54" s="32" t="s">
        <v>1094</v>
      </c>
      <c r="K54" s="17" t="str">
        <f>Table2[[#This Row],[name]]</f>
        <v>Join for water</v>
      </c>
    </row>
    <row r="55" spans="2:11" hidden="1" x14ac:dyDescent="0.25">
      <c r="B55" s="27">
        <v>52</v>
      </c>
      <c r="C55" s="28" t="s">
        <v>1096</v>
      </c>
      <c r="D55" s="29" t="s">
        <v>1097</v>
      </c>
      <c r="E55" s="29" t="s">
        <v>936</v>
      </c>
      <c r="F55" s="28" t="s">
        <v>937</v>
      </c>
      <c r="G55" s="28" t="s">
        <v>938</v>
      </c>
      <c r="H55" s="30">
        <v>42510</v>
      </c>
      <c r="I55" s="31" t="s">
        <v>1098</v>
      </c>
      <c r="J55" s="32" t="s">
        <v>1097</v>
      </c>
      <c r="K55" s="17" t="str">
        <f>Table2[[#This Row],[name]]</f>
        <v>KIYO</v>
      </c>
    </row>
    <row r="56" spans="2:11" ht="30" hidden="1" x14ac:dyDescent="0.25">
      <c r="B56" s="27">
        <v>53</v>
      </c>
      <c r="C56" s="35" t="s">
        <v>1099</v>
      </c>
      <c r="D56" s="29" t="s">
        <v>1100</v>
      </c>
      <c r="E56" s="29" t="s">
        <v>936</v>
      </c>
      <c r="F56" s="28" t="s">
        <v>937</v>
      </c>
      <c r="G56" s="28" t="s">
        <v>938</v>
      </c>
      <c r="H56" s="30">
        <v>42510</v>
      </c>
      <c r="I56" s="31" t="s">
        <v>1101</v>
      </c>
      <c r="J56" s="32" t="s">
        <v>1100</v>
      </c>
      <c r="K56" s="17" t="str">
        <f>Table2[[#This Row],[name]]</f>
        <v>Louvain Coopération au Développement</v>
      </c>
    </row>
    <row r="57" spans="2:11" ht="45" hidden="1" x14ac:dyDescent="0.25">
      <c r="B57" s="27">
        <v>54</v>
      </c>
      <c r="C57" s="28" t="s">
        <v>1102</v>
      </c>
      <c r="D57" s="29" t="s">
        <v>1103</v>
      </c>
      <c r="E57" s="29" t="s">
        <v>936</v>
      </c>
      <c r="F57" s="28" t="s">
        <v>937</v>
      </c>
      <c r="G57" s="28" t="s">
        <v>938</v>
      </c>
      <c r="H57" s="30">
        <v>42510</v>
      </c>
      <c r="I57" s="31" t="s">
        <v>1104</v>
      </c>
      <c r="J57" s="32" t="s">
        <v>1103</v>
      </c>
      <c r="K57" s="17" t="str">
        <f>Table2[[#This Row],[name]]</f>
        <v>Light for the World - Licht voor de Wereld - Lumière pour le Monde - Licht fur die Welt</v>
      </c>
    </row>
    <row r="58" spans="2:11" ht="30" hidden="1" x14ac:dyDescent="0.25">
      <c r="B58" s="27">
        <v>55</v>
      </c>
      <c r="C58" s="28" t="s">
        <v>1105</v>
      </c>
      <c r="D58" s="29" t="s">
        <v>1106</v>
      </c>
      <c r="E58" s="29" t="s">
        <v>936</v>
      </c>
      <c r="F58" s="28" t="s">
        <v>937</v>
      </c>
      <c r="G58" s="28" t="s">
        <v>938</v>
      </c>
      <c r="H58" s="30">
        <v>43892</v>
      </c>
      <c r="I58" s="31" t="s">
        <v>1107</v>
      </c>
      <c r="J58" s="32" t="s">
        <v>1106</v>
      </c>
      <c r="K58" s="17" t="str">
        <f>Table2[[#This Row],[name]]</f>
        <v>Laïcité et Humanisme en Afrique Centrale</v>
      </c>
    </row>
    <row r="59" spans="2:11" hidden="1" x14ac:dyDescent="0.25">
      <c r="B59" s="27">
        <v>56</v>
      </c>
      <c r="C59" s="28" t="s">
        <v>1108</v>
      </c>
      <c r="D59" s="29" t="s">
        <v>1109</v>
      </c>
      <c r="E59" s="29" t="s">
        <v>936</v>
      </c>
      <c r="F59" s="28" t="s">
        <v>937</v>
      </c>
      <c r="G59" s="28" t="s">
        <v>938</v>
      </c>
      <c r="H59" s="30">
        <v>42510</v>
      </c>
      <c r="I59" s="31" t="s">
        <v>1110</v>
      </c>
      <c r="J59" s="32" t="s">
        <v>1109</v>
      </c>
      <c r="K59" s="17" t="str">
        <f>Table2[[#This Row],[name]]</f>
        <v>Le Monde selon les femmes</v>
      </c>
    </row>
    <row r="60" spans="2:11" ht="30" hidden="1" x14ac:dyDescent="0.25">
      <c r="B60" s="27">
        <v>57</v>
      </c>
      <c r="C60" s="28" t="s">
        <v>1111</v>
      </c>
      <c r="D60" s="29" t="s">
        <v>1112</v>
      </c>
      <c r="E60" s="29" t="s">
        <v>936</v>
      </c>
      <c r="F60" s="28" t="s">
        <v>937</v>
      </c>
      <c r="G60" s="28" t="s">
        <v>938</v>
      </c>
      <c r="H60" s="30">
        <v>42510</v>
      </c>
      <c r="I60" s="31" t="s">
        <v>1113</v>
      </c>
      <c r="J60" s="32" t="s">
        <v>1114</v>
      </c>
      <c r="K60" s="17" t="str">
        <f>Table2[[#This Row],[name]]</f>
        <v>Médecins du Monde 
Dokters van de Wereld</v>
      </c>
    </row>
    <row r="61" spans="2:11" hidden="1" x14ac:dyDescent="0.25">
      <c r="B61" s="27">
        <v>58</v>
      </c>
      <c r="C61" s="28" t="s">
        <v>1115</v>
      </c>
      <c r="D61" s="29" t="s">
        <v>1116</v>
      </c>
      <c r="E61" s="29" t="s">
        <v>936</v>
      </c>
      <c r="F61" s="28" t="s">
        <v>937</v>
      </c>
      <c r="G61" s="28" t="s">
        <v>938</v>
      </c>
      <c r="H61" s="30">
        <v>42510</v>
      </c>
      <c r="I61" s="28" t="s">
        <v>1117</v>
      </c>
      <c r="J61" s="32" t="s">
        <v>1116</v>
      </c>
      <c r="K61" s="17" t="str">
        <f>Table2[[#This Row],[name]]</f>
        <v>Memisa België</v>
      </c>
    </row>
    <row r="62" spans="2:11" hidden="1" x14ac:dyDescent="0.25">
      <c r="B62" s="27">
        <v>59</v>
      </c>
      <c r="C62" s="28" t="s">
        <v>1118</v>
      </c>
      <c r="D62" s="29" t="s">
        <v>1119</v>
      </c>
      <c r="E62" s="29" t="s">
        <v>936</v>
      </c>
      <c r="F62" s="28" t="s">
        <v>937</v>
      </c>
      <c r="G62" s="28" t="s">
        <v>938</v>
      </c>
      <c r="H62" s="30">
        <v>42510</v>
      </c>
      <c r="I62" s="31" t="s">
        <v>1120</v>
      </c>
      <c r="J62" s="32" t="s">
        <v>1119</v>
      </c>
      <c r="K62" s="17" t="str">
        <f>Table2[[#This Row],[name]]</f>
        <v xml:space="preserve">Miel Maya Honing </v>
      </c>
    </row>
    <row r="63" spans="2:11" ht="30" hidden="1" x14ac:dyDescent="0.25">
      <c r="B63" s="27">
        <v>60</v>
      </c>
      <c r="C63" s="28" t="s">
        <v>1121</v>
      </c>
      <c r="D63" s="29" t="s">
        <v>1122</v>
      </c>
      <c r="E63" s="29" t="s">
        <v>936</v>
      </c>
      <c r="F63" s="28" t="s">
        <v>937</v>
      </c>
      <c r="G63" s="28" t="s">
        <v>938</v>
      </c>
      <c r="H63" s="30">
        <v>42510</v>
      </c>
      <c r="I63" s="28" t="s">
        <v>1123</v>
      </c>
      <c r="J63" s="32" t="s">
        <v>1124</v>
      </c>
      <c r="K63" s="17" t="str">
        <f>Table2[[#This Row],[name]]</f>
        <v>Médecins Sans Frontières 
Artsen Zonder Grenzen</v>
      </c>
    </row>
    <row r="64" spans="2:11" ht="45" hidden="1" x14ac:dyDescent="0.25">
      <c r="B64" s="27">
        <v>61</v>
      </c>
      <c r="C64" s="28" t="s">
        <v>1125</v>
      </c>
      <c r="D64" s="29" t="s">
        <v>1126</v>
      </c>
      <c r="E64" s="29" t="s">
        <v>936</v>
      </c>
      <c r="F64" s="28" t="s">
        <v>937</v>
      </c>
      <c r="G64" s="28" t="s">
        <v>938</v>
      </c>
      <c r="H64" s="30">
        <v>42510</v>
      </c>
      <c r="I64" s="31" t="s">
        <v>1127</v>
      </c>
      <c r="J64" s="32" t="s">
        <v>1128</v>
      </c>
      <c r="K64" s="17" t="str">
        <f>Table2[[#This Row],[name]]</f>
        <v>Beweging voor Internationale Solidariteit - Mouvement pour la Solidarité Internationale</v>
      </c>
    </row>
    <row r="65" spans="2:11" ht="45" hidden="1" x14ac:dyDescent="0.25">
      <c r="B65" s="27">
        <v>62</v>
      </c>
      <c r="C65" s="28" t="s">
        <v>1129</v>
      </c>
      <c r="D65" s="29" t="s">
        <v>1130</v>
      </c>
      <c r="E65" s="29" t="s">
        <v>930</v>
      </c>
      <c r="F65" s="28" t="s">
        <v>931</v>
      </c>
      <c r="G65" s="28" t="s">
        <v>932</v>
      </c>
      <c r="H65" s="30">
        <v>42674</v>
      </c>
      <c r="I65" s="31" t="s">
        <v>1131</v>
      </c>
      <c r="J65" s="32" t="s">
        <v>1130</v>
      </c>
      <c r="K65" s="17" t="str">
        <f>Table2[[#This Row],[name]]</f>
        <v>ngo-federatie, Vlaamse federatie van NGO's voor ontwikkelingssamenwerking</v>
      </c>
    </row>
    <row r="66" spans="2:11" hidden="1" x14ac:dyDescent="0.25">
      <c r="B66" s="27">
        <v>63</v>
      </c>
      <c r="C66" s="28" t="s">
        <v>1132</v>
      </c>
      <c r="D66" s="29" t="s">
        <v>1133</v>
      </c>
      <c r="E66" s="29" t="s">
        <v>936</v>
      </c>
      <c r="F66" s="28" t="s">
        <v>937</v>
      </c>
      <c r="G66" s="28" t="s">
        <v>938</v>
      </c>
      <c r="H66" s="30">
        <v>42510</v>
      </c>
      <c r="I66" s="31" t="s">
        <v>1134</v>
      </c>
      <c r="J66" s="32" t="s">
        <v>1135</v>
      </c>
      <c r="K66" s="17" t="str">
        <f>Table2[[#This Row],[name]]</f>
        <v>Oxfam - Magasins du monde</v>
      </c>
    </row>
    <row r="67" spans="2:11" ht="30" hidden="1" x14ac:dyDescent="0.25">
      <c r="B67" s="27">
        <v>64</v>
      </c>
      <c r="C67" s="28" t="s">
        <v>1136</v>
      </c>
      <c r="D67" s="29" t="s">
        <v>844</v>
      </c>
      <c r="E67" s="29" t="s">
        <v>936</v>
      </c>
      <c r="F67" s="28" t="s">
        <v>937</v>
      </c>
      <c r="G67" s="28" t="s">
        <v>938</v>
      </c>
      <c r="H67" s="30">
        <v>42510</v>
      </c>
      <c r="I67" s="31" t="s">
        <v>1137</v>
      </c>
      <c r="J67" s="32" t="s">
        <v>1138</v>
      </c>
      <c r="K67" s="17" t="str">
        <f>Table2[[#This Row],[name]]</f>
        <v>Oxfam Solidariteit 
Oxfam Solidarité</v>
      </c>
    </row>
    <row r="68" spans="2:11" hidden="1" x14ac:dyDescent="0.25">
      <c r="B68" s="27">
        <v>65</v>
      </c>
      <c r="C68" s="28" t="s">
        <v>1139</v>
      </c>
      <c r="D68" s="29" t="s">
        <v>1140</v>
      </c>
      <c r="E68" s="29" t="s">
        <v>936</v>
      </c>
      <c r="F68" s="28" t="s">
        <v>937</v>
      </c>
      <c r="G68" s="28" t="s">
        <v>938</v>
      </c>
      <c r="H68" s="30">
        <v>42510</v>
      </c>
      <c r="I68" s="31" t="s">
        <v>1141</v>
      </c>
      <c r="J68" s="32" t="s">
        <v>1142</v>
      </c>
      <c r="K68" s="17" t="str">
        <f>Table2[[#This Row],[name]]</f>
        <v>Oxfam - WereldWinkels</v>
      </c>
    </row>
    <row r="69" spans="2:11" ht="30" hidden="1" x14ac:dyDescent="0.25">
      <c r="B69" s="27">
        <v>66</v>
      </c>
      <c r="C69" s="28" t="s">
        <v>1143</v>
      </c>
      <c r="D69" s="29" t="s">
        <v>1144</v>
      </c>
      <c r="E69" s="29" t="s">
        <v>936</v>
      </c>
      <c r="F69" s="28" t="s">
        <v>937</v>
      </c>
      <c r="G69" s="28" t="s">
        <v>938</v>
      </c>
      <c r="H69" s="30">
        <v>42510</v>
      </c>
      <c r="I69" s="31" t="s">
        <v>1145</v>
      </c>
      <c r="J69" s="32" t="s">
        <v>1144</v>
      </c>
      <c r="K69" s="17" t="str">
        <f>Table2[[#This Row],[name]]</f>
        <v>Plan International Belgique
Plan International België</v>
      </c>
    </row>
    <row r="70" spans="2:11" hidden="1" x14ac:dyDescent="0.25">
      <c r="B70" s="27">
        <v>67</v>
      </c>
      <c r="C70" s="28" t="s">
        <v>1146</v>
      </c>
      <c r="D70" s="29" t="s">
        <v>1146</v>
      </c>
      <c r="E70" s="29" t="s">
        <v>936</v>
      </c>
      <c r="F70" s="28" t="s">
        <v>937</v>
      </c>
      <c r="G70" s="28" t="s">
        <v>938</v>
      </c>
      <c r="H70" s="30">
        <v>42510</v>
      </c>
      <c r="I70" s="31" t="s">
        <v>1147</v>
      </c>
      <c r="J70" s="32" t="s">
        <v>1146</v>
      </c>
      <c r="K70" s="17" t="str">
        <f>Table2[[#This Row],[name]]</f>
        <v>Quinoa</v>
      </c>
    </row>
    <row r="71" spans="2:11" hidden="1" x14ac:dyDescent="0.25">
      <c r="B71" s="27">
        <v>68</v>
      </c>
      <c r="C71" s="28" t="s">
        <v>1148</v>
      </c>
      <c r="D71" s="29" t="s">
        <v>1149</v>
      </c>
      <c r="E71" s="29" t="s">
        <v>936</v>
      </c>
      <c r="F71" s="28" t="s">
        <v>937</v>
      </c>
      <c r="G71" s="28" t="s">
        <v>938</v>
      </c>
      <c r="H71" s="30">
        <v>42510</v>
      </c>
      <c r="I71" s="31" t="s">
        <v>1150</v>
      </c>
      <c r="J71" s="32" t="s">
        <v>1149</v>
      </c>
      <c r="K71" s="17" t="str">
        <f>Table2[[#This Row],[name]]</f>
        <v>RCN Justice &amp; Démocratie</v>
      </c>
    </row>
    <row r="72" spans="2:11" hidden="1" x14ac:dyDescent="0.25">
      <c r="B72" s="27">
        <v>69</v>
      </c>
      <c r="C72" s="28" t="s">
        <v>1151</v>
      </c>
      <c r="D72" s="29" t="s">
        <v>1151</v>
      </c>
      <c r="E72" s="29" t="s">
        <v>936</v>
      </c>
      <c r="F72" s="28" t="s">
        <v>937</v>
      </c>
      <c r="G72" s="28" t="s">
        <v>938</v>
      </c>
      <c r="H72" s="30">
        <v>42510</v>
      </c>
      <c r="I72" s="31" t="s">
        <v>1152</v>
      </c>
      <c r="J72" s="32" t="s">
        <v>1151</v>
      </c>
      <c r="K72" s="17" t="str">
        <f>Table2[[#This Row],[name]]</f>
        <v>RIKOLTO</v>
      </c>
    </row>
    <row r="73" spans="2:11" ht="30" hidden="1" x14ac:dyDescent="0.25">
      <c r="B73" s="27">
        <v>70</v>
      </c>
      <c r="C73" s="28" t="s">
        <v>1153</v>
      </c>
      <c r="D73" s="29" t="s">
        <v>1154</v>
      </c>
      <c r="E73" s="29" t="s">
        <v>936</v>
      </c>
      <c r="F73" s="28" t="s">
        <v>937</v>
      </c>
      <c r="G73" s="28" t="s">
        <v>938</v>
      </c>
      <c r="H73" s="30">
        <v>42510</v>
      </c>
      <c r="I73" s="31" t="s">
        <v>1155</v>
      </c>
      <c r="J73" s="32" t="s">
        <v>1154</v>
      </c>
      <c r="K73" s="17" t="str">
        <f>Table2[[#This Row],[name]]</f>
        <v>Rode Kruis - Vlaanderen Internationaal</v>
      </c>
    </row>
    <row r="74" spans="2:11" ht="45" hidden="1" x14ac:dyDescent="0.25">
      <c r="B74" s="27">
        <v>71</v>
      </c>
      <c r="C74" s="28" t="s">
        <v>1156</v>
      </c>
      <c r="D74" s="29" t="s">
        <v>1157</v>
      </c>
      <c r="E74" s="29" t="s">
        <v>936</v>
      </c>
      <c r="F74" s="28" t="s">
        <v>937</v>
      </c>
      <c r="G74" s="28" t="s">
        <v>938</v>
      </c>
      <c r="H74" s="30">
        <v>42510</v>
      </c>
      <c r="I74" s="31" t="s">
        <v>1158</v>
      </c>
      <c r="J74" s="32" t="s">
        <v>1157</v>
      </c>
      <c r="K74" s="17" t="str">
        <f>Table2[[#This Row],[name]]</f>
        <v>Association des Rotary Clubs Belges pour la coopération au développement</v>
      </c>
    </row>
    <row r="75" spans="2:11" hidden="1" x14ac:dyDescent="0.25">
      <c r="B75" s="27">
        <v>72</v>
      </c>
      <c r="C75" s="28" t="s">
        <v>1159</v>
      </c>
      <c r="D75" s="29" t="s">
        <v>1160</v>
      </c>
      <c r="E75" s="29" t="s">
        <v>936</v>
      </c>
      <c r="F75" s="28" t="s">
        <v>937</v>
      </c>
      <c r="G75" s="28" t="s">
        <v>938</v>
      </c>
      <c r="H75" s="30" t="s">
        <v>960</v>
      </c>
      <c r="I75" s="34" t="s">
        <v>1161</v>
      </c>
      <c r="J75" s="32" t="s">
        <v>1160</v>
      </c>
      <c r="K75" s="17" t="str">
        <f>Table2[[#This Row],[name]]</f>
        <v>Search for Common Ground</v>
      </c>
    </row>
    <row r="76" spans="2:11" hidden="1" x14ac:dyDescent="0.25">
      <c r="B76" s="27">
        <v>73</v>
      </c>
      <c r="C76" s="28" t="s">
        <v>1162</v>
      </c>
      <c r="D76" s="29" t="s">
        <v>1163</v>
      </c>
      <c r="E76" s="29" t="s">
        <v>936</v>
      </c>
      <c r="F76" s="28" t="s">
        <v>937</v>
      </c>
      <c r="G76" s="28" t="s">
        <v>938</v>
      </c>
      <c r="H76" s="30">
        <v>42510</v>
      </c>
      <c r="I76" s="31" t="s">
        <v>1164</v>
      </c>
      <c r="J76" s="32" t="s">
        <v>1163</v>
      </c>
      <c r="K76" s="17" t="str">
        <f>Table2[[#This Row],[name]]</f>
        <v>Service Civil International</v>
      </c>
    </row>
    <row r="77" spans="2:11" hidden="1" x14ac:dyDescent="0.25">
      <c r="B77" s="27">
        <v>74</v>
      </c>
      <c r="C77" s="28" t="s">
        <v>1165</v>
      </c>
      <c r="D77" s="29" t="s">
        <v>1166</v>
      </c>
      <c r="E77" s="29" t="s">
        <v>936</v>
      </c>
      <c r="F77" s="28" t="s">
        <v>937</v>
      </c>
      <c r="G77" s="28" t="s">
        <v>938</v>
      </c>
      <c r="H77" s="30">
        <v>42510</v>
      </c>
      <c r="I77" s="31" t="s">
        <v>1167</v>
      </c>
      <c r="J77" s="32" t="s">
        <v>1166</v>
      </c>
      <c r="K77" s="17" t="str">
        <f>Table2[[#This Row],[name]]</f>
        <v>Sensorial Handicap Cooperation</v>
      </c>
    </row>
    <row r="78" spans="2:11" hidden="1" x14ac:dyDescent="0.25">
      <c r="B78" s="27">
        <v>75</v>
      </c>
      <c r="C78" s="28" t="s">
        <v>1168</v>
      </c>
      <c r="D78" s="29" t="s">
        <v>1169</v>
      </c>
      <c r="E78" s="29" t="s">
        <v>936</v>
      </c>
      <c r="F78" s="28" t="s">
        <v>937</v>
      </c>
      <c r="G78" s="28" t="s">
        <v>938</v>
      </c>
      <c r="H78" s="30">
        <v>42510</v>
      </c>
      <c r="I78" s="31" t="s">
        <v>1170</v>
      </c>
      <c r="J78" s="32" t="s">
        <v>1169</v>
      </c>
      <c r="K78" s="17" t="str">
        <f>Table2[[#This Row],[name]]</f>
        <v>Solidagro</v>
      </c>
    </row>
    <row r="79" spans="2:11" ht="30" hidden="1" x14ac:dyDescent="0.25">
      <c r="B79" s="27">
        <v>76</v>
      </c>
      <c r="C79" s="28" t="s">
        <v>1171</v>
      </c>
      <c r="D79" s="29" t="s">
        <v>1172</v>
      </c>
      <c r="E79" s="29" t="s">
        <v>936</v>
      </c>
      <c r="F79" s="28" t="s">
        <v>937</v>
      </c>
      <c r="G79" s="28" t="s">
        <v>938</v>
      </c>
      <c r="H79" s="30">
        <v>42510</v>
      </c>
      <c r="I79" s="31" t="s">
        <v>1173</v>
      </c>
      <c r="J79" s="32" t="s">
        <v>1174</v>
      </c>
      <c r="K79" s="17" t="str">
        <f>Table2[[#This Row],[name]]</f>
        <v>Solidarité Socialiste - Formation, Coopération et Développement</v>
      </c>
    </row>
    <row r="80" spans="2:11" ht="30" hidden="1" x14ac:dyDescent="0.25">
      <c r="B80" s="27">
        <v>77</v>
      </c>
      <c r="C80" s="28" t="s">
        <v>1175</v>
      </c>
      <c r="D80" s="29" t="s">
        <v>1176</v>
      </c>
      <c r="E80" s="29" t="s">
        <v>936</v>
      </c>
      <c r="F80" s="28" t="s">
        <v>937</v>
      </c>
      <c r="G80" s="28" t="s">
        <v>938</v>
      </c>
      <c r="H80" s="30">
        <v>42510</v>
      </c>
      <c r="I80" s="31" t="s">
        <v>1177</v>
      </c>
      <c r="J80" s="32" t="s">
        <v>1178</v>
      </c>
      <c r="K80" s="17" t="str">
        <f>Table2[[#This Row],[name]]</f>
        <v>Fondation SOS FAIM - 
SOS HUNGER Foundation</v>
      </c>
    </row>
    <row r="81" spans="2:11" ht="30" hidden="1" x14ac:dyDescent="0.25">
      <c r="B81" s="27">
        <v>78</v>
      </c>
      <c r="C81" s="28" t="s">
        <v>1179</v>
      </c>
      <c r="D81" s="29" t="s">
        <v>1180</v>
      </c>
      <c r="E81" s="29" t="s">
        <v>936</v>
      </c>
      <c r="F81" s="28" t="s">
        <v>937</v>
      </c>
      <c r="G81" s="28" t="s">
        <v>938</v>
      </c>
      <c r="H81" s="30">
        <v>42510</v>
      </c>
      <c r="I81" s="31" t="s">
        <v>1181</v>
      </c>
      <c r="J81" s="32" t="s">
        <v>1182</v>
      </c>
      <c r="K81" s="17" t="str">
        <f>Table2[[#This Row],[name]]</f>
        <v xml:space="preserve">SOS Villages d'Enfants Belgique -
SOS Kinderdorpen België </v>
      </c>
    </row>
    <row r="82" spans="2:11" hidden="1" x14ac:dyDescent="0.25">
      <c r="B82" s="27">
        <v>79</v>
      </c>
      <c r="C82" s="28" t="s">
        <v>1183</v>
      </c>
      <c r="D82" s="29" t="s">
        <v>1183</v>
      </c>
      <c r="E82" s="29" t="s">
        <v>936</v>
      </c>
      <c r="F82" s="28" t="s">
        <v>937</v>
      </c>
      <c r="G82" s="28" t="s">
        <v>938</v>
      </c>
      <c r="H82" s="30">
        <v>42510</v>
      </c>
      <c r="I82" s="31" t="s">
        <v>1184</v>
      </c>
      <c r="J82" s="32" t="s">
        <v>1185</v>
      </c>
      <c r="K82" s="17" t="str">
        <f>Table2[[#This Row],[name]]</f>
        <v>Studio Globo</v>
      </c>
    </row>
    <row r="83" spans="2:11" hidden="1" x14ac:dyDescent="0.25">
      <c r="B83" s="27">
        <v>80</v>
      </c>
      <c r="C83" s="28" t="s">
        <v>1186</v>
      </c>
      <c r="D83" s="29" t="s">
        <v>1186</v>
      </c>
      <c r="E83" s="29" t="s">
        <v>936</v>
      </c>
      <c r="F83" s="28" t="s">
        <v>937</v>
      </c>
      <c r="G83" s="28" t="s">
        <v>938</v>
      </c>
      <c r="H83" s="30">
        <v>42510</v>
      </c>
      <c r="I83" s="31" t="s">
        <v>1187</v>
      </c>
      <c r="J83" s="32" t="s">
        <v>1186</v>
      </c>
      <c r="K83" s="17" t="str">
        <f>Table2[[#This Row],[name]]</f>
        <v>Tearfund</v>
      </c>
    </row>
    <row r="84" spans="2:11" hidden="1" x14ac:dyDescent="0.25">
      <c r="B84" s="27">
        <v>81</v>
      </c>
      <c r="C84" s="28" t="s">
        <v>1188</v>
      </c>
      <c r="D84" s="29" t="s">
        <v>1188</v>
      </c>
      <c r="E84" s="29" t="s">
        <v>936</v>
      </c>
      <c r="F84" s="28" t="s">
        <v>937</v>
      </c>
      <c r="G84" s="28" t="s">
        <v>938</v>
      </c>
      <c r="H84" s="30">
        <v>42510</v>
      </c>
      <c r="I84" s="31" t="s">
        <v>1189</v>
      </c>
      <c r="J84" s="32" t="s">
        <v>1188</v>
      </c>
      <c r="K84" s="17" t="str">
        <f>Table2[[#This Row],[name]]</f>
        <v>TRIAS</v>
      </c>
    </row>
    <row r="85" spans="2:11" ht="30" hidden="1" x14ac:dyDescent="0.25">
      <c r="B85" s="27">
        <v>82</v>
      </c>
      <c r="C85" s="28" t="s">
        <v>1190</v>
      </c>
      <c r="D85" s="29" t="s">
        <v>1191</v>
      </c>
      <c r="E85" s="29" t="s">
        <v>936</v>
      </c>
      <c r="F85" s="28" t="s">
        <v>937</v>
      </c>
      <c r="G85" s="28" t="s">
        <v>938</v>
      </c>
      <c r="H85" s="30">
        <v>42510</v>
      </c>
      <c r="I85" s="31" t="s">
        <v>1192</v>
      </c>
      <c r="J85" s="32" t="s">
        <v>1191</v>
      </c>
      <c r="K85" s="17" t="str">
        <f>Table2[[#This Row],[name]]</f>
        <v>Universitair Centrum voor Ontwikkelingssamenwerking</v>
      </c>
    </row>
    <row r="86" spans="2:11" ht="30" hidden="1" x14ac:dyDescent="0.25">
      <c r="B86" s="27">
        <v>83</v>
      </c>
      <c r="C86" s="35" t="s">
        <v>1193</v>
      </c>
      <c r="D86" s="29" t="s">
        <v>1193</v>
      </c>
      <c r="E86" s="29" t="s">
        <v>936</v>
      </c>
      <c r="F86" s="28" t="s">
        <v>937</v>
      </c>
      <c r="G86" s="28" t="s">
        <v>938</v>
      </c>
      <c r="H86" s="30">
        <v>42510</v>
      </c>
      <c r="I86" s="31" t="s">
        <v>1194</v>
      </c>
      <c r="J86" s="32" t="s">
        <v>1195</v>
      </c>
      <c r="K86" s="17" t="str">
        <f>Table2[[#This Row],[name]]</f>
        <v>ULB-Coopération</v>
      </c>
    </row>
    <row r="87" spans="2:11" ht="30" hidden="1" x14ac:dyDescent="0.25">
      <c r="B87" s="27">
        <v>84</v>
      </c>
      <c r="C87" s="28" t="s">
        <v>1196</v>
      </c>
      <c r="D87" s="29" t="s">
        <v>1197</v>
      </c>
      <c r="E87" s="29" t="s">
        <v>936</v>
      </c>
      <c r="F87" s="28" t="s">
        <v>937</v>
      </c>
      <c r="G87" s="28" t="s">
        <v>938</v>
      </c>
      <c r="H87" s="30">
        <v>42510</v>
      </c>
      <c r="I87" s="31" t="s">
        <v>1198</v>
      </c>
      <c r="J87" s="32" t="s">
        <v>1199</v>
      </c>
      <c r="K87" s="17" t="str">
        <f>Table2[[#This Row],[name]]</f>
        <v>Comité belge pour l'UNICEF
Belgisch Comite voor UNICEF</v>
      </c>
    </row>
    <row r="88" spans="2:11" ht="30" x14ac:dyDescent="0.25">
      <c r="B88" s="27">
        <v>85</v>
      </c>
      <c r="C88" s="28" t="s">
        <v>1200</v>
      </c>
      <c r="D88" s="29" t="s">
        <v>1201</v>
      </c>
      <c r="E88" s="29" t="s">
        <v>951</v>
      </c>
      <c r="F88" s="28" t="s">
        <v>952</v>
      </c>
      <c r="G88" s="28" t="s">
        <v>953</v>
      </c>
      <c r="H88" s="30">
        <v>42510</v>
      </c>
      <c r="I88" s="31" t="s">
        <v>1202</v>
      </c>
      <c r="J88" s="32" t="s">
        <v>1201</v>
      </c>
      <c r="K88" s="17" t="str">
        <f>Table2[[#This Row],[name]]</f>
        <v>Union des Villes et Communes de Wallonie</v>
      </c>
    </row>
    <row r="89" spans="2:11" hidden="1" x14ac:dyDescent="0.25">
      <c r="B89" s="27">
        <v>86</v>
      </c>
      <c r="C89" s="28" t="s">
        <v>1203</v>
      </c>
      <c r="D89" s="29" t="s">
        <v>1204</v>
      </c>
      <c r="E89" s="29" t="s">
        <v>936</v>
      </c>
      <c r="F89" s="28" t="s">
        <v>937</v>
      </c>
      <c r="G89" s="28" t="s">
        <v>938</v>
      </c>
      <c r="H89" s="30">
        <v>42510</v>
      </c>
      <c r="I89" s="31" t="s">
        <v>1205</v>
      </c>
      <c r="J89" s="32" t="s">
        <v>1206</v>
      </c>
      <c r="K89" s="17" t="str">
        <f>Table2[[#This Row],[name]]</f>
        <v>VIA Don Bosco</v>
      </c>
    </row>
    <row r="90" spans="2:11" hidden="1" x14ac:dyDescent="0.25">
      <c r="B90" s="27">
        <v>87</v>
      </c>
      <c r="C90" s="28" t="s">
        <v>1207</v>
      </c>
      <c r="D90" s="29" t="s">
        <v>1207</v>
      </c>
      <c r="E90" s="29" t="s">
        <v>936</v>
      </c>
      <c r="F90" s="28" t="s">
        <v>937</v>
      </c>
      <c r="G90" s="28" t="s">
        <v>938</v>
      </c>
      <c r="H90" s="30">
        <v>42510</v>
      </c>
      <c r="I90" s="31" t="s">
        <v>1208</v>
      </c>
      <c r="J90" s="32" t="s">
        <v>1209</v>
      </c>
      <c r="K90" s="17" t="str">
        <f>Table2[[#This Row],[name]]</f>
        <v>Viva Salud</v>
      </c>
    </row>
    <row r="91" spans="2:11" x14ac:dyDescent="0.25">
      <c r="B91" s="27">
        <v>88</v>
      </c>
      <c r="C91" s="28" t="s">
        <v>1210</v>
      </c>
      <c r="D91" s="29" t="s">
        <v>1211</v>
      </c>
      <c r="E91" s="29" t="s">
        <v>951</v>
      </c>
      <c r="F91" s="28" t="s">
        <v>952</v>
      </c>
      <c r="G91" s="28" t="s">
        <v>953</v>
      </c>
      <c r="H91" s="30">
        <v>42510</v>
      </c>
      <c r="I91" s="31" t="s">
        <v>1212</v>
      </c>
      <c r="J91" s="32" t="s">
        <v>1211</v>
      </c>
      <c r="K91" s="17" t="str">
        <f>Table2[[#This Row],[name]]</f>
        <v>Vlaamse Interuniversitaire Raad</v>
      </c>
    </row>
    <row r="92" spans="2:11" ht="30" hidden="1" x14ac:dyDescent="0.25">
      <c r="B92" s="27">
        <v>89</v>
      </c>
      <c r="C92" s="28" t="s">
        <v>1213</v>
      </c>
      <c r="D92" s="29" t="s">
        <v>1214</v>
      </c>
      <c r="E92" s="29" t="s">
        <v>936</v>
      </c>
      <c r="F92" s="28" t="s">
        <v>937</v>
      </c>
      <c r="G92" s="28" t="s">
        <v>938</v>
      </c>
      <c r="H92" s="30">
        <v>42510</v>
      </c>
      <c r="I92" s="31" t="s">
        <v>1215</v>
      </c>
      <c r="J92" s="32" t="s">
        <v>1216</v>
      </c>
      <c r="K92" s="17" t="str">
        <f>Table2[[#This Row],[name]]</f>
        <v xml:space="preserve">Vétérinaires Sans Frontières
Dierenartsen Zonder Grenzen </v>
      </c>
    </row>
    <row r="93" spans="2:11" ht="45" x14ac:dyDescent="0.25">
      <c r="B93" s="27">
        <v>90</v>
      </c>
      <c r="C93" s="28" t="s">
        <v>1217</v>
      </c>
      <c r="D93" s="29" t="s">
        <v>1218</v>
      </c>
      <c r="E93" s="29" t="s">
        <v>951</v>
      </c>
      <c r="F93" s="28" t="s">
        <v>952</v>
      </c>
      <c r="G93" s="28" t="s">
        <v>953</v>
      </c>
      <c r="H93" s="30">
        <v>42510</v>
      </c>
      <c r="I93" s="31" t="s">
        <v>1219</v>
      </c>
      <c r="J93" s="32" t="s">
        <v>1218</v>
      </c>
      <c r="K93" s="17" t="str">
        <f>Table2[[#This Row],[name]]</f>
        <v>Vlaamse Vereniging voor Ontwikkelingssamenwerking en Technische Bijstand</v>
      </c>
    </row>
    <row r="94" spans="2:11" ht="30" x14ac:dyDescent="0.25">
      <c r="B94" s="27">
        <v>91</v>
      </c>
      <c r="C94" s="28" t="s">
        <v>1220</v>
      </c>
      <c r="D94" s="29" t="s">
        <v>1221</v>
      </c>
      <c r="E94" s="29" t="s">
        <v>951</v>
      </c>
      <c r="F94" s="28" t="s">
        <v>952</v>
      </c>
      <c r="G94" s="28" t="s">
        <v>953</v>
      </c>
      <c r="H94" s="30">
        <v>42510</v>
      </c>
      <c r="I94" s="31" t="s">
        <v>1222</v>
      </c>
      <c r="J94" s="32" t="s">
        <v>1221</v>
      </c>
      <c r="K94" s="17" t="str">
        <f>Table2[[#This Row],[name]]</f>
        <v>Vereniging van Vlaamse Steden en Gemeenten</v>
      </c>
    </row>
    <row r="95" spans="2:11" ht="30" hidden="1" x14ac:dyDescent="0.25">
      <c r="B95" s="27">
        <v>92</v>
      </c>
      <c r="C95" s="28" t="s">
        <v>1223</v>
      </c>
      <c r="D95" s="29" t="s">
        <v>1224</v>
      </c>
      <c r="E95" s="29" t="s">
        <v>936</v>
      </c>
      <c r="F95" s="28" t="s">
        <v>937</v>
      </c>
      <c r="G95" s="28" t="s">
        <v>938</v>
      </c>
      <c r="H95" s="30" t="s">
        <v>960</v>
      </c>
      <c r="I95" s="34" t="s">
        <v>1225</v>
      </c>
      <c r="J95" s="32" t="s">
        <v>1226</v>
      </c>
      <c r="K95" s="17" t="str">
        <f>Table2[[#This Row],[name]]</f>
        <v>War-Affected people's Association International</v>
      </c>
    </row>
    <row r="96" spans="2:11" hidden="1" x14ac:dyDescent="0.25">
      <c r="B96" s="27">
        <v>93</v>
      </c>
      <c r="C96" s="28" t="s">
        <v>1227</v>
      </c>
      <c r="D96" s="29" t="s">
        <v>1228</v>
      </c>
      <c r="E96" s="29" t="s">
        <v>936</v>
      </c>
      <c r="F96" s="28" t="s">
        <v>937</v>
      </c>
      <c r="G96" s="28" t="s">
        <v>938</v>
      </c>
      <c r="H96" s="30">
        <v>42510</v>
      </c>
      <c r="I96" s="31" t="s">
        <v>1229</v>
      </c>
      <c r="J96" s="32" t="s">
        <v>1228</v>
      </c>
      <c r="K96" s="17" t="str">
        <f>Table2[[#This Row],[name]]</f>
        <v>WSM We Social Movement</v>
      </c>
    </row>
    <row r="97" spans="2:11" hidden="1" x14ac:dyDescent="0.25">
      <c r="B97" s="27">
        <v>94</v>
      </c>
      <c r="C97" s="28" t="s">
        <v>1230</v>
      </c>
      <c r="D97" s="29" t="s">
        <v>1231</v>
      </c>
      <c r="E97" s="29" t="s">
        <v>936</v>
      </c>
      <c r="F97" s="28" t="s">
        <v>937</v>
      </c>
      <c r="G97" s="28" t="s">
        <v>938</v>
      </c>
      <c r="H97" s="30">
        <v>42510</v>
      </c>
      <c r="I97" s="31" t="s">
        <v>1232</v>
      </c>
      <c r="J97" s="32" t="s">
        <v>1231</v>
      </c>
      <c r="K97" s="17" t="str">
        <f>Table2[[#This Row],[name]]</f>
        <v>World Wildlife Fund</v>
      </c>
    </row>
    <row r="98" spans="2:11" x14ac:dyDescent="0.25"/>
    <row r="99" spans="2:11" x14ac:dyDescent="0.25"/>
    <row r="100" spans="2:11" x14ac:dyDescent="0.25"/>
    <row r="101" spans="2:11" x14ac:dyDescent="0.25"/>
    <row r="102" spans="2:11" x14ac:dyDescent="0.2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85546875" defaultRowHeight="15" x14ac:dyDescent="0.25"/>
  <cols>
    <col min="2" max="2" width="58.5703125" customWidth="1"/>
    <col min="3" max="3" width="14.85546875" customWidth="1"/>
    <col min="4" max="4" width="17.85546875" customWidth="1"/>
    <col min="5" max="5" width="17.28515625" customWidth="1"/>
    <col min="6" max="6" width="19" customWidth="1"/>
    <col min="7" max="7" width="12.5703125" customWidth="1"/>
    <col min="8" max="8" width="11.85546875" customWidth="1"/>
    <col min="10" max="10" width="12" customWidth="1"/>
    <col min="19" max="19" width="13.85546875" customWidth="1"/>
  </cols>
  <sheetData>
    <row r="1" spans="1:21" x14ac:dyDescent="0.25">
      <c r="A1" t="s">
        <v>914</v>
      </c>
      <c r="B1" t="s">
        <v>1233</v>
      </c>
      <c r="C1" t="s">
        <v>45</v>
      </c>
      <c r="D1" t="s">
        <v>1234</v>
      </c>
      <c r="E1" t="s">
        <v>1235</v>
      </c>
      <c r="F1" t="s">
        <v>1236</v>
      </c>
      <c r="G1" t="s">
        <v>1237</v>
      </c>
      <c r="H1" t="s">
        <v>1238</v>
      </c>
      <c r="I1" t="s">
        <v>1239</v>
      </c>
      <c r="J1" t="s">
        <v>1240</v>
      </c>
      <c r="K1" t="s">
        <v>749</v>
      </c>
    </row>
    <row r="2" spans="1:21" hidden="1" x14ac:dyDescent="0.25">
      <c r="A2">
        <v>901</v>
      </c>
      <c r="B2" t="s">
        <v>863</v>
      </c>
      <c r="C2" t="s">
        <v>1241</v>
      </c>
      <c r="D2" t="s">
        <v>1242</v>
      </c>
      <c r="E2" t="s">
        <v>1242</v>
      </c>
      <c r="F2" t="s">
        <v>1242</v>
      </c>
      <c r="G2" t="s">
        <v>1242</v>
      </c>
      <c r="H2">
        <v>998</v>
      </c>
      <c r="I2" t="str">
        <f>VLOOKUP(Table4[[#This Row],[ID]],List129[[ID]:[IATI]],7,FALSE)</f>
        <v>BE</v>
      </c>
      <c r="J2" t="s">
        <v>1243</v>
      </c>
      <c r="K2">
        <v>1</v>
      </c>
      <c r="R2" t="s">
        <v>1244</v>
      </c>
      <c r="S2" t="s">
        <v>1245</v>
      </c>
      <c r="T2" t="str">
        <f>VLOOKUP(S2,Table4[[EN]:[CSC]],2,FALSE)</f>
        <v>Y</v>
      </c>
      <c r="U2" t="s">
        <v>1245</v>
      </c>
    </row>
    <row r="3" spans="1:21" hidden="1" x14ac:dyDescent="0.25">
      <c r="B3" t="s">
        <v>904</v>
      </c>
      <c r="C3" t="s">
        <v>240</v>
      </c>
      <c r="D3" t="s">
        <v>1246</v>
      </c>
      <c r="E3" t="s">
        <v>1247</v>
      </c>
      <c r="F3" t="s">
        <v>1248</v>
      </c>
      <c r="G3" t="s">
        <v>1249</v>
      </c>
      <c r="H3">
        <v>998</v>
      </c>
      <c r="I3" t="s">
        <v>1250</v>
      </c>
      <c r="J3" t="s">
        <v>1243</v>
      </c>
      <c r="K3">
        <v>1</v>
      </c>
    </row>
    <row r="4" spans="1:21" x14ac:dyDescent="0.25">
      <c r="A4">
        <v>251</v>
      </c>
      <c r="B4" t="s">
        <v>1251</v>
      </c>
      <c r="C4" t="s">
        <v>240</v>
      </c>
      <c r="D4" t="s">
        <v>1251</v>
      </c>
      <c r="E4" t="s">
        <v>1251</v>
      </c>
      <c r="F4" t="s">
        <v>1251</v>
      </c>
      <c r="G4" t="s">
        <v>1252</v>
      </c>
      <c r="H4">
        <v>625</v>
      </c>
      <c r="I4" t="str">
        <f>VLOOKUP(Table4[[#This Row],[ID]],List129[[ID]:[IATI]],7,FALSE)</f>
        <v>AF</v>
      </c>
      <c r="J4" t="s">
        <v>1253</v>
      </c>
      <c r="K4">
        <v>1</v>
      </c>
      <c r="R4" t="s">
        <v>1254</v>
      </c>
      <c r="S4" t="s">
        <v>1255</v>
      </c>
      <c r="T4" t="str">
        <f>VLOOKUP(S4,Table4[[EN]:[CSC]],2,FALSE)</f>
        <v>Y</v>
      </c>
      <c r="U4" t="s">
        <v>1255</v>
      </c>
    </row>
    <row r="5" spans="1:21" hidden="1" x14ac:dyDescent="0.25">
      <c r="A5">
        <v>101</v>
      </c>
      <c r="B5" t="s">
        <v>1256</v>
      </c>
      <c r="C5" t="s">
        <v>240</v>
      </c>
      <c r="D5" t="s">
        <v>1257</v>
      </c>
      <c r="E5" t="s">
        <v>1257</v>
      </c>
      <c r="F5" t="s">
        <v>1256</v>
      </c>
      <c r="G5" t="s">
        <v>1258</v>
      </c>
      <c r="H5">
        <v>71</v>
      </c>
      <c r="I5" t="str">
        <f>VLOOKUP(Table4[[#This Row],[ID]],List129[[ID]:[IATI]],7,FALSE)</f>
        <v>AL</v>
      </c>
      <c r="J5" t="s">
        <v>1259</v>
      </c>
      <c r="K5">
        <v>1</v>
      </c>
      <c r="R5" t="s">
        <v>1260</v>
      </c>
      <c r="S5" t="s">
        <v>868</v>
      </c>
      <c r="T5" t="str">
        <f>VLOOKUP(S5,Table4[[EN]:[CSC]],2,FALSE)</f>
        <v>Y</v>
      </c>
      <c r="U5" t="s">
        <v>868</v>
      </c>
    </row>
    <row r="6" spans="1:21" hidden="1" x14ac:dyDescent="0.25">
      <c r="A6">
        <v>351</v>
      </c>
      <c r="B6" t="s">
        <v>1261</v>
      </c>
      <c r="C6" t="s">
        <v>240</v>
      </c>
      <c r="D6" t="s">
        <v>1262</v>
      </c>
      <c r="E6" t="s">
        <v>1263</v>
      </c>
      <c r="F6" t="s">
        <v>1261</v>
      </c>
      <c r="G6" t="s">
        <v>1264</v>
      </c>
      <c r="H6">
        <v>130</v>
      </c>
      <c r="I6" t="str">
        <f>VLOOKUP(Table4[[#This Row],[ID]],List129[[ID]:[IATI]],7,FALSE)</f>
        <v>DZ</v>
      </c>
      <c r="J6" t="s">
        <v>1265</v>
      </c>
      <c r="K6">
        <v>1</v>
      </c>
      <c r="R6" t="s">
        <v>1266</v>
      </c>
      <c r="S6" t="s">
        <v>1267</v>
      </c>
      <c r="T6" t="str">
        <f>VLOOKUP(S6,Table4[[EN]:[CSC]],2,FALSE)</f>
        <v>Y</v>
      </c>
      <c r="U6" t="s">
        <v>1267</v>
      </c>
    </row>
    <row r="7" spans="1:21" hidden="1" x14ac:dyDescent="0.25">
      <c r="A7">
        <v>341</v>
      </c>
      <c r="B7" t="s">
        <v>1268</v>
      </c>
      <c r="C7" t="s">
        <v>240</v>
      </c>
      <c r="D7" t="s">
        <v>1268</v>
      </c>
      <c r="E7" t="s">
        <v>1268</v>
      </c>
      <c r="F7" t="s">
        <v>1268</v>
      </c>
      <c r="G7" t="s">
        <v>1269</v>
      </c>
      <c r="H7">
        <v>225</v>
      </c>
      <c r="I7" t="str">
        <f>VLOOKUP(Table4[[#This Row],[ID]],List129[[ID]:[IATI]],7,FALSE)</f>
        <v>AO</v>
      </c>
      <c r="J7" t="s">
        <v>1270</v>
      </c>
      <c r="K7">
        <v>1</v>
      </c>
      <c r="R7" t="s">
        <v>1271</v>
      </c>
      <c r="S7" t="s">
        <v>901</v>
      </c>
      <c r="T7" t="str">
        <f>VLOOKUP(S7,Table4[[EN]:[CSC]],2,FALSE)</f>
        <v>Y</v>
      </c>
      <c r="U7" t="s">
        <v>901</v>
      </c>
    </row>
    <row r="8" spans="1:21" hidden="1" x14ac:dyDescent="0.25">
      <c r="A8">
        <v>490</v>
      </c>
      <c r="B8" t="s">
        <v>1272</v>
      </c>
      <c r="C8" t="s">
        <v>240</v>
      </c>
      <c r="D8" t="s">
        <v>1273</v>
      </c>
      <c r="E8" t="s">
        <v>1274</v>
      </c>
      <c r="F8" t="s">
        <v>1272</v>
      </c>
      <c r="G8" t="s">
        <v>1275</v>
      </c>
      <c r="H8">
        <v>376</v>
      </c>
      <c r="I8" t="str">
        <f>VLOOKUP(Table4[[#This Row],[ID]],List129[[ID]:[IATI]],7,FALSE)</f>
        <v>AI</v>
      </c>
      <c r="J8" t="s">
        <v>1276</v>
      </c>
      <c r="K8">
        <v>1</v>
      </c>
      <c r="R8" t="s">
        <v>1277</v>
      </c>
      <c r="S8" t="s">
        <v>1278</v>
      </c>
      <c r="T8" t="str">
        <f>VLOOKUP(S8,Table4[[EN]:[CSC]],2,FALSE)</f>
        <v>Y</v>
      </c>
      <c r="U8" t="s">
        <v>1278</v>
      </c>
    </row>
    <row r="9" spans="1:21" hidden="1" x14ac:dyDescent="0.25">
      <c r="A9">
        <v>491</v>
      </c>
      <c r="B9" t="s">
        <v>1279</v>
      </c>
      <c r="C9" t="s">
        <v>240</v>
      </c>
      <c r="D9" t="s">
        <v>1280</v>
      </c>
      <c r="E9" t="s">
        <v>1280</v>
      </c>
      <c r="F9" t="s">
        <v>1279</v>
      </c>
      <c r="G9" t="s">
        <v>1281</v>
      </c>
      <c r="H9">
        <v>377</v>
      </c>
      <c r="I9" t="str">
        <f>VLOOKUP(Table4[[#This Row],[ID]],List129[[ID]:[IATI]],7,FALSE)</f>
        <v>AG</v>
      </c>
      <c r="J9" t="s">
        <v>1276</v>
      </c>
      <c r="K9">
        <v>1</v>
      </c>
      <c r="R9" t="s">
        <v>1282</v>
      </c>
      <c r="S9" t="s">
        <v>1283</v>
      </c>
      <c r="T9" t="str">
        <f>VLOOKUP(S9,Table4[[EN]:[CSC]],2,FALSE)</f>
        <v>Y</v>
      </c>
      <c r="U9" t="s">
        <v>1283</v>
      </c>
    </row>
    <row r="10" spans="1:21" hidden="1" x14ac:dyDescent="0.25">
      <c r="A10">
        <v>511</v>
      </c>
      <c r="B10" t="s">
        <v>1284</v>
      </c>
      <c r="C10" t="s">
        <v>240</v>
      </c>
      <c r="D10" t="s">
        <v>1285</v>
      </c>
      <c r="E10" t="s">
        <v>1286</v>
      </c>
      <c r="F10" t="s">
        <v>1284</v>
      </c>
      <c r="G10" t="s">
        <v>1287</v>
      </c>
      <c r="H10">
        <v>425</v>
      </c>
      <c r="I10" t="str">
        <f>VLOOKUP(Table4[[#This Row],[ID]],List129[[ID]:[IATI]],7,FALSE)</f>
        <v>AR</v>
      </c>
      <c r="J10" t="s">
        <v>1276</v>
      </c>
      <c r="K10">
        <v>1</v>
      </c>
      <c r="R10" t="s">
        <v>1288</v>
      </c>
      <c r="S10" t="s">
        <v>1289</v>
      </c>
      <c r="T10" t="e">
        <f>VLOOKUP(S10,Table4[[EN]:[CSC]],2,FALSE)</f>
        <v>#N/A</v>
      </c>
      <c r="U10" t="s">
        <v>1290</v>
      </c>
    </row>
    <row r="11" spans="1:21" x14ac:dyDescent="0.25">
      <c r="A11">
        <v>271</v>
      </c>
      <c r="B11" t="s">
        <v>1291</v>
      </c>
      <c r="C11" t="s">
        <v>240</v>
      </c>
      <c r="D11" t="s">
        <v>1292</v>
      </c>
      <c r="E11" t="s">
        <v>1293</v>
      </c>
      <c r="F11" t="s">
        <v>1291</v>
      </c>
      <c r="G11" t="s">
        <v>1294</v>
      </c>
      <c r="H11">
        <v>610</v>
      </c>
      <c r="I11" t="str">
        <f>VLOOKUP(Table4[[#This Row],[ID]],List129[[ID]:[IATI]],7,FALSE)</f>
        <v>AM</v>
      </c>
      <c r="J11" t="s">
        <v>1253</v>
      </c>
      <c r="K11">
        <v>1</v>
      </c>
      <c r="R11" t="s">
        <v>1295</v>
      </c>
      <c r="S11" t="s">
        <v>1296</v>
      </c>
      <c r="T11" t="str">
        <f>VLOOKUP(S11,Table4[[EN]:[CSC]],2,FALSE)</f>
        <v>Y</v>
      </c>
      <c r="U11" t="s">
        <v>1296</v>
      </c>
    </row>
    <row r="12" spans="1:21" x14ac:dyDescent="0.25">
      <c r="A12">
        <v>272</v>
      </c>
      <c r="B12" t="s">
        <v>1297</v>
      </c>
      <c r="C12" t="s">
        <v>240</v>
      </c>
      <c r="D12" t="s">
        <v>1298</v>
      </c>
      <c r="E12" t="s">
        <v>1299</v>
      </c>
      <c r="F12" t="s">
        <v>1297</v>
      </c>
      <c r="G12" t="s">
        <v>1300</v>
      </c>
      <c r="H12">
        <v>611</v>
      </c>
      <c r="I12" t="str">
        <f>VLOOKUP(Table4[[#This Row],[ID]],List129[[ID]:[IATI]],7,FALSE)</f>
        <v>AZ</v>
      </c>
      <c r="J12" t="s">
        <v>1253</v>
      </c>
      <c r="K12">
        <v>1</v>
      </c>
      <c r="R12" t="s">
        <v>1301</v>
      </c>
      <c r="S12" t="s">
        <v>1302</v>
      </c>
      <c r="T12" t="str">
        <f>VLOOKUP(S12,Table4[[EN]:[CSC]],2,FALSE)</f>
        <v>Y</v>
      </c>
      <c r="U12" t="s">
        <v>1302</v>
      </c>
    </row>
    <row r="13" spans="1:21" x14ac:dyDescent="0.25">
      <c r="A13">
        <v>237</v>
      </c>
      <c r="B13" t="s">
        <v>1303</v>
      </c>
      <c r="C13" t="s">
        <v>240</v>
      </c>
      <c r="D13" t="s">
        <v>1303</v>
      </c>
      <c r="E13" t="s">
        <v>1303</v>
      </c>
      <c r="F13" t="s">
        <v>1303</v>
      </c>
      <c r="G13" t="s">
        <v>1304</v>
      </c>
      <c r="H13">
        <v>666</v>
      </c>
      <c r="I13" t="str">
        <f>VLOOKUP(Table4[[#This Row],[ID]],List129[[ID]:[IATI]],7,FALSE)</f>
        <v>BD</v>
      </c>
      <c r="J13" t="s">
        <v>1253</v>
      </c>
      <c r="K13">
        <v>1</v>
      </c>
      <c r="R13" t="s">
        <v>1305</v>
      </c>
      <c r="S13" t="s">
        <v>1306</v>
      </c>
      <c r="T13" t="str">
        <f>VLOOKUP(S13,Table4[[EN]:[CSC]],2,FALSE)</f>
        <v>Y</v>
      </c>
      <c r="U13" t="s">
        <v>1306</v>
      </c>
    </row>
    <row r="14" spans="1:21" hidden="1" x14ac:dyDescent="0.25">
      <c r="A14">
        <v>423</v>
      </c>
      <c r="B14" t="s">
        <v>1307</v>
      </c>
      <c r="C14" t="s">
        <v>240</v>
      </c>
      <c r="D14" t="s">
        <v>1307</v>
      </c>
      <c r="E14" t="s">
        <v>1308</v>
      </c>
      <c r="F14" t="s">
        <v>1307</v>
      </c>
      <c r="G14" t="s">
        <v>1309</v>
      </c>
      <c r="H14">
        <v>329</v>
      </c>
      <c r="I14" t="str">
        <f>VLOOKUP(Table4[[#This Row],[ID]],List129[[ID]:[IATI]],7,FALSE)</f>
        <v>BB</v>
      </c>
      <c r="J14" t="s">
        <v>1276</v>
      </c>
      <c r="K14">
        <v>1</v>
      </c>
      <c r="R14" t="s">
        <v>1310</v>
      </c>
      <c r="S14" t="s">
        <v>1311</v>
      </c>
      <c r="T14" t="e">
        <f>VLOOKUP(S14,Table4[[EN]:[CSC]],2,FALSE)</f>
        <v>#N/A</v>
      </c>
      <c r="U14" t="s">
        <v>1312</v>
      </c>
    </row>
    <row r="15" spans="1:21" hidden="1" x14ac:dyDescent="0.25">
      <c r="A15">
        <v>142</v>
      </c>
      <c r="B15" t="s">
        <v>1313</v>
      </c>
      <c r="C15" t="s">
        <v>240</v>
      </c>
      <c r="D15" t="s">
        <v>1313</v>
      </c>
      <c r="E15" t="s">
        <v>1313</v>
      </c>
      <c r="F15" t="s">
        <v>1313</v>
      </c>
      <c r="G15" t="s">
        <v>1314</v>
      </c>
      <c r="H15">
        <v>86</v>
      </c>
      <c r="I15" t="str">
        <f>VLOOKUP(Table4[[#This Row],[ID]],List129[[ID]:[IATI]],7,FALSE)</f>
        <v>BY</v>
      </c>
      <c r="J15" t="s">
        <v>1259</v>
      </c>
      <c r="K15">
        <v>1</v>
      </c>
      <c r="R15" t="s">
        <v>1315</v>
      </c>
      <c r="S15" t="s">
        <v>1316</v>
      </c>
      <c r="T15" t="e">
        <f>VLOOKUP(S15,Table4[[EN]:[CSC]],2,FALSE)</f>
        <v>#N/A</v>
      </c>
      <c r="U15" t="s">
        <v>871</v>
      </c>
    </row>
    <row r="16" spans="1:21" hidden="1" x14ac:dyDescent="0.25">
      <c r="A16">
        <v>430</v>
      </c>
      <c r="B16" t="s">
        <v>1317</v>
      </c>
      <c r="C16" t="s">
        <v>240</v>
      </c>
      <c r="D16" t="s">
        <v>1317</v>
      </c>
      <c r="E16" t="s">
        <v>1318</v>
      </c>
      <c r="F16" t="s">
        <v>1317</v>
      </c>
      <c r="G16" t="s">
        <v>1319</v>
      </c>
      <c r="H16">
        <v>352</v>
      </c>
      <c r="I16" t="str">
        <f>VLOOKUP(Table4[[#This Row],[ID]],List129[[ID]:[IATI]],7,FALSE)</f>
        <v>BZ</v>
      </c>
      <c r="J16" t="s">
        <v>1276</v>
      </c>
      <c r="K16">
        <v>1</v>
      </c>
      <c r="R16" t="s">
        <v>1320</v>
      </c>
      <c r="S16" t="s">
        <v>1321</v>
      </c>
      <c r="T16" t="e">
        <f>VLOOKUP(S16,Table4[[EN]:[CSC]],2,FALSE)</f>
        <v>#N/A</v>
      </c>
      <c r="U16" t="s">
        <v>1322</v>
      </c>
    </row>
    <row r="17" spans="1:21" hidden="1" x14ac:dyDescent="0.25">
      <c r="A17">
        <v>310</v>
      </c>
      <c r="B17" t="s">
        <v>1245</v>
      </c>
      <c r="C17" t="s">
        <v>1241</v>
      </c>
      <c r="D17" t="s">
        <v>1245</v>
      </c>
      <c r="E17" t="s">
        <v>1323</v>
      </c>
      <c r="F17" t="s">
        <v>1245</v>
      </c>
      <c r="G17" t="s">
        <v>1324</v>
      </c>
      <c r="H17">
        <v>236</v>
      </c>
      <c r="I17" t="str">
        <f>VLOOKUP(Table4[[#This Row],[ID]],List129[[ID]:[IATI]],7,FALSE)</f>
        <v>BJ</v>
      </c>
      <c r="J17" t="s">
        <v>1270</v>
      </c>
      <c r="K17">
        <v>1</v>
      </c>
      <c r="R17" t="s">
        <v>1325</v>
      </c>
      <c r="S17" t="s">
        <v>1326</v>
      </c>
      <c r="T17" t="str">
        <f>VLOOKUP(S17,Table4[[EN]:[CSC]],2,FALSE)</f>
        <v>Y</v>
      </c>
      <c r="U17" t="s">
        <v>1326</v>
      </c>
    </row>
    <row r="18" spans="1:21" x14ac:dyDescent="0.25">
      <c r="A18">
        <v>223</v>
      </c>
      <c r="B18" t="s">
        <v>1327</v>
      </c>
      <c r="C18" t="s">
        <v>240</v>
      </c>
      <c r="D18" t="s">
        <v>1328</v>
      </c>
      <c r="E18" t="s">
        <v>1328</v>
      </c>
      <c r="F18" t="s">
        <v>1327</v>
      </c>
      <c r="G18" t="s">
        <v>1329</v>
      </c>
      <c r="H18">
        <v>630</v>
      </c>
      <c r="I18" t="str">
        <f>VLOOKUP(Table4[[#This Row],[ID]],List129[[ID]:[IATI]],7,FALSE)</f>
        <v>BT</v>
      </c>
      <c r="J18" t="s">
        <v>1253</v>
      </c>
      <c r="K18">
        <v>1</v>
      </c>
      <c r="R18" t="s">
        <v>1330</v>
      </c>
      <c r="S18" t="s">
        <v>1331</v>
      </c>
      <c r="T18" t="e">
        <f>VLOOKUP(S18,Table4[[EN]:[CSC]],2,FALSE)</f>
        <v>#N/A</v>
      </c>
      <c r="U18" t="s">
        <v>874</v>
      </c>
    </row>
    <row r="19" spans="1:21" hidden="1" x14ac:dyDescent="0.25">
      <c r="A19">
        <v>512</v>
      </c>
      <c r="B19" t="s">
        <v>1255</v>
      </c>
      <c r="C19" t="s">
        <v>1241</v>
      </c>
      <c r="D19" t="s">
        <v>1255</v>
      </c>
      <c r="E19" t="s">
        <v>1332</v>
      </c>
      <c r="F19" t="s">
        <v>1255</v>
      </c>
      <c r="G19" t="s">
        <v>1333</v>
      </c>
      <c r="H19">
        <v>428</v>
      </c>
      <c r="I19" t="str">
        <f>VLOOKUP(Table4[[#This Row],[ID]],List129[[ID]:[IATI]],7,FALSE)</f>
        <v>BO</v>
      </c>
      <c r="J19" t="s">
        <v>1276</v>
      </c>
      <c r="K19">
        <v>1</v>
      </c>
      <c r="R19" t="s">
        <v>1334</v>
      </c>
      <c r="S19" t="s">
        <v>1335</v>
      </c>
      <c r="T19" t="str">
        <f>VLOOKUP(S19,Table4[[EN]:[CSC]],2,FALSE)</f>
        <v>Y</v>
      </c>
      <c r="U19" t="s">
        <v>1335</v>
      </c>
    </row>
    <row r="20" spans="1:21" hidden="1" x14ac:dyDescent="0.25">
      <c r="A20">
        <v>135</v>
      </c>
      <c r="B20" t="s">
        <v>1336</v>
      </c>
      <c r="C20" t="s">
        <v>240</v>
      </c>
      <c r="D20" t="s">
        <v>1337</v>
      </c>
      <c r="E20" t="s">
        <v>1338</v>
      </c>
      <c r="F20" t="s">
        <v>1336</v>
      </c>
      <c r="G20" t="s">
        <v>1339</v>
      </c>
      <c r="H20">
        <v>64</v>
      </c>
      <c r="I20" t="str">
        <f>VLOOKUP(Table4[[#This Row],[ID]],List129[[ID]:[IATI]],7,FALSE)</f>
        <v>BA</v>
      </c>
      <c r="J20" t="s">
        <v>1259</v>
      </c>
      <c r="K20">
        <v>1</v>
      </c>
      <c r="R20" t="s">
        <v>1340</v>
      </c>
      <c r="S20" t="s">
        <v>877</v>
      </c>
      <c r="T20" t="str">
        <f>VLOOKUP(S20,Table4[[EN]:[CSC]],2,FALSE)</f>
        <v>Y</v>
      </c>
      <c r="U20" t="s">
        <v>877</v>
      </c>
    </row>
    <row r="21" spans="1:21" hidden="1" x14ac:dyDescent="0.25">
      <c r="A21">
        <v>302</v>
      </c>
      <c r="B21" t="s">
        <v>1341</v>
      </c>
      <c r="C21" t="s">
        <v>240</v>
      </c>
      <c r="D21" t="s">
        <v>1341</v>
      </c>
      <c r="E21" t="s">
        <v>1341</v>
      </c>
      <c r="F21" t="s">
        <v>1341</v>
      </c>
      <c r="G21" t="s">
        <v>1342</v>
      </c>
      <c r="H21">
        <v>227</v>
      </c>
      <c r="I21" t="str">
        <f>VLOOKUP(Table4[[#This Row],[ID]],List129[[ID]:[IATI]],7,FALSE)</f>
        <v>BW</v>
      </c>
      <c r="J21" t="s">
        <v>1270</v>
      </c>
      <c r="K21">
        <v>1</v>
      </c>
      <c r="R21" t="s">
        <v>1343</v>
      </c>
      <c r="S21" t="s">
        <v>1344</v>
      </c>
      <c r="T21" t="str">
        <f>VLOOKUP(S21,Table4[[EN]:[CSC]],2,FALSE)</f>
        <v>Y</v>
      </c>
      <c r="U21" t="s">
        <v>1344</v>
      </c>
    </row>
    <row r="22" spans="1:21" hidden="1" x14ac:dyDescent="0.25">
      <c r="A22">
        <v>513</v>
      </c>
      <c r="B22" t="s">
        <v>1345</v>
      </c>
      <c r="C22" t="s">
        <v>240</v>
      </c>
      <c r="D22" t="s">
        <v>1346</v>
      </c>
      <c r="E22" t="s">
        <v>1347</v>
      </c>
      <c r="F22" t="s">
        <v>1345</v>
      </c>
      <c r="G22" t="s">
        <v>1348</v>
      </c>
      <c r="H22">
        <v>431</v>
      </c>
      <c r="I22" t="str">
        <f>VLOOKUP(Table4[[#This Row],[ID]],List129[[ID]:[IATI]],7,FALSE)</f>
        <v>BR</v>
      </c>
      <c r="J22" t="s">
        <v>1276</v>
      </c>
      <c r="K22">
        <v>1</v>
      </c>
      <c r="R22" t="s">
        <v>1349</v>
      </c>
      <c r="S22" t="s">
        <v>1350</v>
      </c>
      <c r="T22" t="str">
        <f>VLOOKUP(S22,Table4[[EN]:[CSC]],2,FALSE)</f>
        <v>Y</v>
      </c>
      <c r="U22" t="s">
        <v>1350</v>
      </c>
    </row>
    <row r="23" spans="1:21" hidden="1" x14ac:dyDescent="0.25">
      <c r="A23">
        <v>316</v>
      </c>
      <c r="B23" t="s">
        <v>868</v>
      </c>
      <c r="C23" t="s">
        <v>1241</v>
      </c>
      <c r="D23" t="s">
        <v>868</v>
      </c>
      <c r="E23" t="s">
        <v>868</v>
      </c>
      <c r="F23" t="s">
        <v>868</v>
      </c>
      <c r="G23" t="s">
        <v>1351</v>
      </c>
      <c r="H23">
        <v>287</v>
      </c>
      <c r="I23" t="str">
        <f>VLOOKUP(Table4[[#This Row],[ID]],List129[[ID]:[IATI]],7,FALSE)</f>
        <v>BF</v>
      </c>
      <c r="J23" t="s">
        <v>1270</v>
      </c>
      <c r="K23">
        <v>1</v>
      </c>
      <c r="R23" t="s">
        <v>1352</v>
      </c>
      <c r="S23" t="s">
        <v>1353</v>
      </c>
      <c r="T23" t="e">
        <f>VLOOKUP(S23,Table4[[EN]:[CSC]],2,FALSE)</f>
        <v>#N/A</v>
      </c>
      <c r="U23" t="s">
        <v>880</v>
      </c>
    </row>
    <row r="24" spans="1:21" hidden="1" x14ac:dyDescent="0.25">
      <c r="A24">
        <v>303</v>
      </c>
      <c r="B24" t="s">
        <v>1267</v>
      </c>
      <c r="C24" t="s">
        <v>1241</v>
      </c>
      <c r="D24" t="s">
        <v>1267</v>
      </c>
      <c r="E24" t="s">
        <v>1267</v>
      </c>
      <c r="F24" t="s">
        <v>1267</v>
      </c>
      <c r="G24" t="s">
        <v>1354</v>
      </c>
      <c r="H24">
        <v>228</v>
      </c>
      <c r="I24" t="str">
        <f>VLOOKUP(Table4[[#This Row],[ID]],List129[[ID]:[IATI]],7,FALSE)</f>
        <v>BI</v>
      </c>
      <c r="J24" t="s">
        <v>1270</v>
      </c>
      <c r="K24">
        <v>1</v>
      </c>
      <c r="R24" t="s">
        <v>1355</v>
      </c>
      <c r="S24" t="s">
        <v>1356</v>
      </c>
      <c r="T24" t="str">
        <f>VLOOKUP(S24,Table4[[EN]:[CSC]],2,FALSE)</f>
        <v>Y</v>
      </c>
      <c r="U24" t="s">
        <v>1356</v>
      </c>
    </row>
    <row r="25" spans="1:21" x14ac:dyDescent="0.25">
      <c r="A25">
        <v>202</v>
      </c>
      <c r="B25" t="s">
        <v>901</v>
      </c>
      <c r="C25" t="s">
        <v>1241</v>
      </c>
      <c r="D25" t="s">
        <v>1357</v>
      </c>
      <c r="E25" t="s">
        <v>1358</v>
      </c>
      <c r="F25" t="s">
        <v>901</v>
      </c>
      <c r="G25" t="s">
        <v>1359</v>
      </c>
      <c r="H25">
        <v>728</v>
      </c>
      <c r="I25" t="str">
        <f>VLOOKUP(Table4[[#This Row],[ID]],List129[[ID]:[IATI]],7,FALSE)</f>
        <v>KH</v>
      </c>
      <c r="J25" t="s">
        <v>1253</v>
      </c>
      <c r="K25">
        <v>1</v>
      </c>
      <c r="R25" t="s">
        <v>1360</v>
      </c>
      <c r="S25" t="s">
        <v>1361</v>
      </c>
      <c r="T25" t="str">
        <f>VLOOKUP(S25,Table4[[EN]:[CSC]],2,FALSE)</f>
        <v>Y</v>
      </c>
      <c r="U25" t="s">
        <v>1361</v>
      </c>
    </row>
    <row r="26" spans="1:21" hidden="1" x14ac:dyDescent="0.25">
      <c r="A26">
        <v>305</v>
      </c>
      <c r="B26" t="s">
        <v>1362</v>
      </c>
      <c r="C26" t="s">
        <v>240</v>
      </c>
      <c r="D26" t="s">
        <v>1363</v>
      </c>
      <c r="E26" t="s">
        <v>1364</v>
      </c>
      <c r="F26" t="s">
        <v>1362</v>
      </c>
      <c r="G26" t="s">
        <v>1365</v>
      </c>
      <c r="H26">
        <v>231</v>
      </c>
      <c r="I26" t="str">
        <f>VLOOKUP(Table4[[#This Row],[ID]],List129[[ID]:[IATI]],7,FALSE)</f>
        <v>CF</v>
      </c>
      <c r="J26" t="s">
        <v>1270</v>
      </c>
      <c r="K26">
        <v>1</v>
      </c>
      <c r="R26" t="s">
        <v>1366</v>
      </c>
      <c r="S26" t="s">
        <v>1367</v>
      </c>
      <c r="T26" t="str">
        <f>VLOOKUP(S26,Table4[[EN]:[CSC]],2,FALSE)</f>
        <v>Y</v>
      </c>
      <c r="U26" t="s">
        <v>1367</v>
      </c>
    </row>
    <row r="27" spans="1:21" hidden="1" x14ac:dyDescent="0.25">
      <c r="A27">
        <v>514</v>
      </c>
      <c r="B27" t="s">
        <v>1368</v>
      </c>
      <c r="C27" t="s">
        <v>240</v>
      </c>
      <c r="D27" t="s">
        <v>1369</v>
      </c>
      <c r="E27" t="s">
        <v>1369</v>
      </c>
      <c r="F27" t="s">
        <v>1368</v>
      </c>
      <c r="G27" t="s">
        <v>1370</v>
      </c>
      <c r="H27">
        <v>434</v>
      </c>
      <c r="I27" t="str">
        <f>VLOOKUP(Table4[[#This Row],[ID]],List129[[ID]:[IATI]],7,FALSE)</f>
        <v>CL</v>
      </c>
      <c r="J27" t="s">
        <v>1276</v>
      </c>
      <c r="K27">
        <v>1</v>
      </c>
      <c r="R27" t="s">
        <v>1371</v>
      </c>
      <c r="S27" t="s">
        <v>903</v>
      </c>
      <c r="T27" t="str">
        <f>VLOOKUP(S27,Table4[[EN]:[CSC]],2,FALSE)</f>
        <v>Y</v>
      </c>
      <c r="U27" t="s">
        <v>903</v>
      </c>
    </row>
    <row r="28" spans="1:21" x14ac:dyDescent="0.25">
      <c r="A28">
        <v>218</v>
      </c>
      <c r="B28" t="s">
        <v>1372</v>
      </c>
      <c r="C28" t="s">
        <v>240</v>
      </c>
      <c r="D28" t="s">
        <v>1373</v>
      </c>
      <c r="E28" t="s">
        <v>1374</v>
      </c>
      <c r="F28" t="s">
        <v>1372</v>
      </c>
      <c r="G28" t="s">
        <v>1375</v>
      </c>
      <c r="H28">
        <v>730</v>
      </c>
      <c r="I28" t="str">
        <f>VLOOKUP(Table4[[#This Row],[ID]],List129[[ID]:[IATI]],7,FALSE)</f>
        <v>CN</v>
      </c>
      <c r="J28" t="s">
        <v>1253</v>
      </c>
      <c r="K28">
        <v>1</v>
      </c>
    </row>
    <row r="29" spans="1:21" hidden="1" x14ac:dyDescent="0.25">
      <c r="A29">
        <v>515</v>
      </c>
      <c r="B29" t="s">
        <v>1376</v>
      </c>
      <c r="C29" t="s">
        <v>240</v>
      </c>
      <c r="D29" t="s">
        <v>1376</v>
      </c>
      <c r="E29" t="s">
        <v>1377</v>
      </c>
      <c r="F29" t="s">
        <v>1376</v>
      </c>
      <c r="G29" t="s">
        <v>1378</v>
      </c>
      <c r="H29">
        <v>437</v>
      </c>
      <c r="I29" t="str">
        <f>VLOOKUP(Table4[[#This Row],[ID]],List129[[ID]:[IATI]],7,FALSE)</f>
        <v>CO</v>
      </c>
      <c r="J29" t="s">
        <v>1276</v>
      </c>
      <c r="K29">
        <v>1</v>
      </c>
    </row>
    <row r="30" spans="1:21" hidden="1" x14ac:dyDescent="0.25">
      <c r="A30">
        <v>343</v>
      </c>
      <c r="B30" t="s">
        <v>1379</v>
      </c>
      <c r="C30" t="s">
        <v>240</v>
      </c>
      <c r="D30" t="s">
        <v>1380</v>
      </c>
      <c r="E30" t="s">
        <v>1381</v>
      </c>
      <c r="F30" t="s">
        <v>1379</v>
      </c>
      <c r="G30" t="s">
        <v>1382</v>
      </c>
      <c r="H30">
        <v>233</v>
      </c>
      <c r="I30" t="str">
        <f>VLOOKUP(Table4[[#This Row],[ID]],List129[[ID]:[IATI]],7,FALSE)</f>
        <v>KM</v>
      </c>
      <c r="J30" t="s">
        <v>1270</v>
      </c>
      <c r="K30">
        <v>1</v>
      </c>
    </row>
    <row r="31" spans="1:21" hidden="1" x14ac:dyDescent="0.25">
      <c r="A31">
        <v>306</v>
      </c>
      <c r="B31" t="s">
        <v>880</v>
      </c>
      <c r="C31" t="s">
        <v>1241</v>
      </c>
      <c r="D31" t="s">
        <v>1383</v>
      </c>
      <c r="E31" t="s">
        <v>1384</v>
      </c>
      <c r="F31" t="s">
        <v>880</v>
      </c>
      <c r="G31" t="s">
        <v>1385</v>
      </c>
      <c r="H31">
        <v>235</v>
      </c>
      <c r="I31" t="str">
        <f>VLOOKUP(Table4[[#This Row],[ID]],List129[[ID]:[IATI]],7,FALSE)</f>
        <v>CD</v>
      </c>
      <c r="J31" t="s">
        <v>1270</v>
      </c>
      <c r="K31">
        <v>1</v>
      </c>
    </row>
    <row r="32" spans="1:21" hidden="1" x14ac:dyDescent="0.25">
      <c r="A32">
        <v>307</v>
      </c>
      <c r="B32" t="s">
        <v>1386</v>
      </c>
      <c r="C32" t="s">
        <v>240</v>
      </c>
      <c r="D32" t="s">
        <v>1387</v>
      </c>
      <c r="E32" t="s">
        <v>1388</v>
      </c>
      <c r="F32" t="s">
        <v>1386</v>
      </c>
      <c r="G32" t="s">
        <v>1389</v>
      </c>
      <c r="H32">
        <v>234</v>
      </c>
      <c r="I32" t="str">
        <f>VLOOKUP(Table4[[#This Row],[ID]],List129[[ID]:[IATI]],7,FALSE)</f>
        <v>CG</v>
      </c>
      <c r="J32" t="s">
        <v>1270</v>
      </c>
      <c r="K32">
        <v>1</v>
      </c>
    </row>
    <row r="33" spans="1:11" hidden="1" x14ac:dyDescent="0.25">
      <c r="A33">
        <v>687</v>
      </c>
      <c r="B33" t="s">
        <v>1390</v>
      </c>
      <c r="C33" t="s">
        <v>240</v>
      </c>
      <c r="D33" t="s">
        <v>1391</v>
      </c>
      <c r="E33" t="s">
        <v>1392</v>
      </c>
      <c r="F33" t="s">
        <v>1390</v>
      </c>
      <c r="G33" t="s">
        <v>1393</v>
      </c>
      <c r="H33">
        <v>831</v>
      </c>
      <c r="I33" t="str">
        <f>VLOOKUP(Table4[[#This Row],[ID]],List129[[ID]:[IATI]],7,FALSE)</f>
        <v>CK</v>
      </c>
      <c r="J33" t="s">
        <v>1394</v>
      </c>
      <c r="K33">
        <v>1</v>
      </c>
    </row>
    <row r="34" spans="1:11" hidden="1" x14ac:dyDescent="0.25">
      <c r="A34">
        <v>411</v>
      </c>
      <c r="B34" t="s">
        <v>1395</v>
      </c>
      <c r="C34" t="s">
        <v>240</v>
      </c>
      <c r="D34" t="s">
        <v>1395</v>
      </c>
      <c r="E34" t="s">
        <v>1396</v>
      </c>
      <c r="F34" t="s">
        <v>1395</v>
      </c>
      <c r="G34" t="s">
        <v>1397</v>
      </c>
      <c r="H34">
        <v>336</v>
      </c>
      <c r="I34" t="str">
        <f>VLOOKUP(Table4[[#This Row],[ID]],List129[[ID]:[IATI]],7,FALSE)</f>
        <v>CR</v>
      </c>
      <c r="J34" t="s">
        <v>1276</v>
      </c>
      <c r="K34">
        <v>1</v>
      </c>
    </row>
    <row r="35" spans="1:11" hidden="1" x14ac:dyDescent="0.25">
      <c r="A35">
        <v>412</v>
      </c>
      <c r="B35" t="s">
        <v>1398</v>
      </c>
      <c r="C35" t="s">
        <v>240</v>
      </c>
      <c r="D35" t="s">
        <v>1398</v>
      </c>
      <c r="E35" t="s">
        <v>1398</v>
      </c>
      <c r="F35" t="s">
        <v>1398</v>
      </c>
      <c r="G35" t="s">
        <v>1399</v>
      </c>
      <c r="H35">
        <v>338</v>
      </c>
      <c r="I35" t="str">
        <f>VLOOKUP(Table4[[#This Row],[ID]],List129[[ID]:[IATI]],7,FALSE)</f>
        <v>CU</v>
      </c>
      <c r="J35" t="s">
        <v>1276</v>
      </c>
      <c r="K35">
        <v>1</v>
      </c>
    </row>
    <row r="36" spans="1:11" hidden="1" x14ac:dyDescent="0.25">
      <c r="A36">
        <v>345</v>
      </c>
      <c r="B36" t="s">
        <v>1400</v>
      </c>
      <c r="C36" t="s">
        <v>240</v>
      </c>
      <c r="D36" t="s">
        <v>1400</v>
      </c>
      <c r="E36" t="s">
        <v>1400</v>
      </c>
      <c r="F36" t="s">
        <v>1400</v>
      </c>
      <c r="G36" t="s">
        <v>1401</v>
      </c>
      <c r="H36">
        <v>274</v>
      </c>
      <c r="I36" t="str">
        <f>VLOOKUP(Table4[[#This Row],[ID]],List129[[ID]:[IATI]],7,FALSE)</f>
        <v>DJ</v>
      </c>
      <c r="J36" t="s">
        <v>1270</v>
      </c>
      <c r="K36">
        <v>1</v>
      </c>
    </row>
    <row r="37" spans="1:11" hidden="1" x14ac:dyDescent="0.25">
      <c r="A37">
        <v>420</v>
      </c>
      <c r="B37" t="s">
        <v>1402</v>
      </c>
      <c r="C37" t="s">
        <v>240</v>
      </c>
      <c r="D37" t="s">
        <v>1402</v>
      </c>
      <c r="E37" t="s">
        <v>1403</v>
      </c>
      <c r="F37" t="s">
        <v>1402</v>
      </c>
      <c r="G37" t="s">
        <v>1404</v>
      </c>
      <c r="H37">
        <v>378</v>
      </c>
      <c r="I37" t="str">
        <f>VLOOKUP(Table4[[#This Row],[ID]],List129[[ID]:[IATI]],7,FALSE)</f>
        <v>DM</v>
      </c>
      <c r="J37" t="s">
        <v>1276</v>
      </c>
      <c r="K37">
        <v>1</v>
      </c>
    </row>
    <row r="38" spans="1:11" hidden="1" x14ac:dyDescent="0.25">
      <c r="A38">
        <v>427</v>
      </c>
      <c r="B38" t="s">
        <v>1405</v>
      </c>
      <c r="C38" t="s">
        <v>240</v>
      </c>
      <c r="D38" t="s">
        <v>1406</v>
      </c>
      <c r="E38" t="s">
        <v>1407</v>
      </c>
      <c r="F38" t="s">
        <v>1405</v>
      </c>
      <c r="G38" t="s">
        <v>1408</v>
      </c>
      <c r="H38">
        <v>340</v>
      </c>
      <c r="I38" t="str">
        <f>VLOOKUP(Table4[[#This Row],[ID]],List129[[ID]:[IATI]],7,FALSE)</f>
        <v>DO</v>
      </c>
      <c r="J38" t="s">
        <v>1276</v>
      </c>
      <c r="K38">
        <v>1</v>
      </c>
    </row>
    <row r="39" spans="1:11" hidden="1" x14ac:dyDescent="0.25">
      <c r="A39">
        <v>516</v>
      </c>
      <c r="B39" t="s">
        <v>1278</v>
      </c>
      <c r="C39" t="s">
        <v>1241</v>
      </c>
      <c r="D39" t="s">
        <v>1278</v>
      </c>
      <c r="E39" t="s">
        <v>1409</v>
      </c>
      <c r="F39" t="s">
        <v>1278</v>
      </c>
      <c r="G39" t="s">
        <v>1410</v>
      </c>
      <c r="H39">
        <v>440</v>
      </c>
      <c r="I39" t="str">
        <f>VLOOKUP(Table4[[#This Row],[ID]],List129[[ID]:[IATI]],7,FALSE)</f>
        <v>EC</v>
      </c>
      <c r="J39" t="s">
        <v>1276</v>
      </c>
      <c r="K39">
        <v>1</v>
      </c>
    </row>
    <row r="40" spans="1:11" hidden="1" x14ac:dyDescent="0.25">
      <c r="A40">
        <v>352</v>
      </c>
      <c r="B40" t="s">
        <v>1411</v>
      </c>
      <c r="C40" t="s">
        <v>240</v>
      </c>
      <c r="D40" t="s">
        <v>1412</v>
      </c>
      <c r="E40" t="s">
        <v>1412</v>
      </c>
      <c r="F40" t="s">
        <v>1411</v>
      </c>
      <c r="G40" t="s">
        <v>1413</v>
      </c>
      <c r="H40">
        <v>142</v>
      </c>
      <c r="I40" t="str">
        <f>VLOOKUP(Table4[[#This Row],[ID]],List129[[ID]:[IATI]],7,FALSE)</f>
        <v>EG</v>
      </c>
      <c r="J40" t="s">
        <v>1265</v>
      </c>
      <c r="K40">
        <v>1</v>
      </c>
    </row>
    <row r="41" spans="1:11" hidden="1" x14ac:dyDescent="0.25">
      <c r="A41">
        <v>421</v>
      </c>
      <c r="B41" t="s">
        <v>1414</v>
      </c>
      <c r="C41" t="s">
        <v>240</v>
      </c>
      <c r="D41" t="s">
        <v>1414</v>
      </c>
      <c r="E41" t="s">
        <v>1414</v>
      </c>
      <c r="F41" t="s">
        <v>1414</v>
      </c>
      <c r="G41" t="s">
        <v>1415</v>
      </c>
      <c r="H41">
        <v>342</v>
      </c>
      <c r="I41" t="str">
        <f>VLOOKUP(Table4[[#This Row],[ID]],List129[[ID]:[IATI]],7,FALSE)</f>
        <v>SV</v>
      </c>
      <c r="J41" t="s">
        <v>1276</v>
      </c>
      <c r="K41">
        <v>1</v>
      </c>
    </row>
    <row r="42" spans="1:11" hidden="1" x14ac:dyDescent="0.25">
      <c r="A42">
        <v>337</v>
      </c>
      <c r="B42" t="s">
        <v>1416</v>
      </c>
      <c r="C42" t="s">
        <v>240</v>
      </c>
      <c r="D42" t="s">
        <v>1417</v>
      </c>
      <c r="E42" t="s">
        <v>1418</v>
      </c>
      <c r="F42" t="s">
        <v>1416</v>
      </c>
      <c r="G42" t="s">
        <v>1419</v>
      </c>
      <c r="H42">
        <v>245</v>
      </c>
      <c r="I42" t="str">
        <f>VLOOKUP(Table4[[#This Row],[ID]],List129[[ID]:[IATI]],7,FALSE)</f>
        <v>GQ</v>
      </c>
      <c r="J42" t="s">
        <v>1270</v>
      </c>
      <c r="K42">
        <v>1</v>
      </c>
    </row>
    <row r="43" spans="1:11" hidden="1" x14ac:dyDescent="0.25">
      <c r="A43">
        <v>330</v>
      </c>
      <c r="B43" t="s">
        <v>1420</v>
      </c>
      <c r="C43" t="s">
        <v>240</v>
      </c>
      <c r="D43" t="s">
        <v>1420</v>
      </c>
      <c r="E43" t="s">
        <v>1421</v>
      </c>
      <c r="F43" t="s">
        <v>1420</v>
      </c>
      <c r="G43" t="s">
        <v>1422</v>
      </c>
      <c r="H43">
        <v>271</v>
      </c>
      <c r="I43" t="str">
        <f>VLOOKUP(Table4[[#This Row],[ID]],List129[[ID]:[IATI]],7,FALSE)</f>
        <v>ER</v>
      </c>
      <c r="J43" t="s">
        <v>1270</v>
      </c>
      <c r="K43">
        <v>1</v>
      </c>
    </row>
    <row r="44" spans="1:11" hidden="1" x14ac:dyDescent="0.25">
      <c r="A44">
        <v>311</v>
      </c>
      <c r="B44" t="s">
        <v>1423</v>
      </c>
      <c r="C44" t="s">
        <v>240</v>
      </c>
      <c r="D44" t="s">
        <v>1424</v>
      </c>
      <c r="E44" t="s">
        <v>1424</v>
      </c>
      <c r="F44" t="s">
        <v>1423</v>
      </c>
      <c r="G44" t="s">
        <v>1425</v>
      </c>
      <c r="H44">
        <v>238</v>
      </c>
      <c r="I44" t="str">
        <f>VLOOKUP(Table4[[#This Row],[ID]],List129[[ID]:[IATI]],7,FALSE)</f>
        <v>ET</v>
      </c>
      <c r="J44" t="s">
        <v>1270</v>
      </c>
      <c r="K44">
        <v>1</v>
      </c>
    </row>
    <row r="45" spans="1:11" hidden="1" x14ac:dyDescent="0.25">
      <c r="A45">
        <v>617</v>
      </c>
      <c r="B45" t="s">
        <v>1426</v>
      </c>
      <c r="C45" t="s">
        <v>240</v>
      </c>
      <c r="D45" t="s">
        <v>1427</v>
      </c>
      <c r="E45" t="s">
        <v>1426</v>
      </c>
      <c r="F45" t="s">
        <v>1426</v>
      </c>
      <c r="G45" t="s">
        <v>1428</v>
      </c>
      <c r="H45">
        <v>832</v>
      </c>
      <c r="I45" t="str">
        <f>VLOOKUP(Table4[[#This Row],[ID]],List129[[ID]:[IATI]],7,FALSE)</f>
        <v>FJ</v>
      </c>
      <c r="J45" t="s">
        <v>1394</v>
      </c>
      <c r="K45">
        <v>1</v>
      </c>
    </row>
    <row r="46" spans="1:11" x14ac:dyDescent="0.25">
      <c r="A46">
        <v>214</v>
      </c>
      <c r="B46" t="s">
        <v>1350</v>
      </c>
      <c r="C46" t="s">
        <v>1241</v>
      </c>
      <c r="D46" t="s">
        <v>1429</v>
      </c>
      <c r="E46" t="s">
        <v>1350</v>
      </c>
      <c r="F46" t="s">
        <v>1350</v>
      </c>
      <c r="G46" t="s">
        <v>1430</v>
      </c>
      <c r="H46">
        <v>755</v>
      </c>
      <c r="I46" t="str">
        <f>VLOOKUP(Table4[[#This Row],[ID]],List129[[ID]:[IATI]],7,FALSE)</f>
        <v>PH</v>
      </c>
      <c r="J46" t="s">
        <v>1253</v>
      </c>
      <c r="K46">
        <v>1</v>
      </c>
    </row>
    <row r="47" spans="1:11" hidden="1" x14ac:dyDescent="0.25">
      <c r="A47">
        <v>312</v>
      </c>
      <c r="B47" t="s">
        <v>1431</v>
      </c>
      <c r="C47" t="s">
        <v>240</v>
      </c>
      <c r="D47" t="s">
        <v>1431</v>
      </c>
      <c r="E47" t="s">
        <v>1431</v>
      </c>
      <c r="F47" t="s">
        <v>1431</v>
      </c>
      <c r="G47" t="s">
        <v>1432</v>
      </c>
      <c r="H47">
        <v>239</v>
      </c>
      <c r="I47" t="str">
        <f>VLOOKUP(Table4[[#This Row],[ID]],List129[[ID]:[IATI]],7,FALSE)</f>
        <v>GA</v>
      </c>
      <c r="J47" t="s">
        <v>1270</v>
      </c>
      <c r="K47">
        <v>1</v>
      </c>
    </row>
    <row r="48" spans="1:11" hidden="1" x14ac:dyDescent="0.25">
      <c r="A48">
        <v>313</v>
      </c>
      <c r="B48" t="s">
        <v>1433</v>
      </c>
      <c r="C48" t="s">
        <v>240</v>
      </c>
      <c r="D48" t="s">
        <v>1433</v>
      </c>
      <c r="E48" t="s">
        <v>1434</v>
      </c>
      <c r="F48" t="s">
        <v>1433</v>
      </c>
      <c r="G48" t="s">
        <v>1435</v>
      </c>
      <c r="H48">
        <v>240</v>
      </c>
      <c r="I48" t="str">
        <f>VLOOKUP(Table4[[#This Row],[ID]],List129[[ID]:[IATI]],7,FALSE)</f>
        <v>GM</v>
      </c>
      <c r="J48" t="s">
        <v>1270</v>
      </c>
      <c r="K48">
        <v>1</v>
      </c>
    </row>
    <row r="49" spans="1:18" x14ac:dyDescent="0.25">
      <c r="A49">
        <v>279</v>
      </c>
      <c r="B49" t="s">
        <v>1436</v>
      </c>
      <c r="C49" t="s">
        <v>240</v>
      </c>
      <c r="D49" t="s">
        <v>1437</v>
      </c>
      <c r="E49" t="s">
        <v>1438</v>
      </c>
      <c r="F49" t="s">
        <v>1436</v>
      </c>
      <c r="G49" t="s">
        <v>1439</v>
      </c>
      <c r="H49">
        <v>612</v>
      </c>
      <c r="I49" t="str">
        <f>VLOOKUP(Table4[[#This Row],[ID]],List129[[ID]:[IATI]],7,FALSE)</f>
        <v>GE</v>
      </c>
      <c r="J49" t="s">
        <v>1253</v>
      </c>
      <c r="K49">
        <v>1</v>
      </c>
    </row>
    <row r="50" spans="1:18" hidden="1" x14ac:dyDescent="0.25">
      <c r="A50">
        <v>314</v>
      </c>
      <c r="B50" t="s">
        <v>1440</v>
      </c>
      <c r="C50" t="s">
        <v>240</v>
      </c>
      <c r="D50" t="s">
        <v>1440</v>
      </c>
      <c r="E50" t="s">
        <v>1440</v>
      </c>
      <c r="F50" t="s">
        <v>1440</v>
      </c>
      <c r="G50" t="s">
        <v>1441</v>
      </c>
      <c r="H50">
        <v>241</v>
      </c>
      <c r="I50" t="str">
        <f>VLOOKUP(Table4[[#This Row],[ID]],List129[[ID]:[IATI]],7,FALSE)</f>
        <v>GH</v>
      </c>
      <c r="J50" t="s">
        <v>1270</v>
      </c>
      <c r="K50">
        <v>1</v>
      </c>
    </row>
    <row r="51" spans="1:18" hidden="1" x14ac:dyDescent="0.25">
      <c r="A51">
        <v>426</v>
      </c>
      <c r="B51" t="s">
        <v>1442</v>
      </c>
      <c r="C51" t="s">
        <v>240</v>
      </c>
      <c r="D51" t="s">
        <v>1442</v>
      </c>
      <c r="E51" t="s">
        <v>1443</v>
      </c>
      <c r="F51" t="s">
        <v>1442</v>
      </c>
      <c r="G51" t="s">
        <v>1444</v>
      </c>
      <c r="H51">
        <v>381</v>
      </c>
      <c r="I51" t="str">
        <f>VLOOKUP(Table4[[#This Row],[ID]],List129[[ID]:[IATI]],7,FALSE)</f>
        <v>GD</v>
      </c>
      <c r="J51" t="s">
        <v>1276</v>
      </c>
      <c r="K51">
        <v>1</v>
      </c>
    </row>
    <row r="52" spans="1:18" hidden="1" x14ac:dyDescent="0.25">
      <c r="A52">
        <v>413</v>
      </c>
      <c r="B52" t="s">
        <v>1283</v>
      </c>
      <c r="C52" t="s">
        <v>1241</v>
      </c>
      <c r="D52" t="s">
        <v>1283</v>
      </c>
      <c r="E52" t="s">
        <v>1283</v>
      </c>
      <c r="F52" t="s">
        <v>1283</v>
      </c>
      <c r="G52" t="s">
        <v>1445</v>
      </c>
      <c r="H52">
        <v>347</v>
      </c>
      <c r="I52" t="str">
        <f>VLOOKUP(Table4[[#This Row],[ID]],List129[[ID]:[IATI]],7,FALSE)</f>
        <v>GT</v>
      </c>
      <c r="J52" t="s">
        <v>1276</v>
      </c>
      <c r="K52">
        <v>1</v>
      </c>
      <c r="R52" t="s">
        <v>1245</v>
      </c>
    </row>
    <row r="53" spans="1:18" hidden="1" x14ac:dyDescent="0.25">
      <c r="A53">
        <v>315</v>
      </c>
      <c r="B53" t="s">
        <v>1290</v>
      </c>
      <c r="C53" t="s">
        <v>1241</v>
      </c>
      <c r="D53" t="s">
        <v>1446</v>
      </c>
      <c r="E53" t="s">
        <v>1447</v>
      </c>
      <c r="F53" t="s">
        <v>1290</v>
      </c>
      <c r="G53" t="s">
        <v>1448</v>
      </c>
      <c r="H53">
        <v>243</v>
      </c>
      <c r="I53" t="str">
        <f>VLOOKUP(Table4[[#This Row],[ID]],List129[[ID]:[IATI]],7,FALSE)</f>
        <v>GN</v>
      </c>
      <c r="J53" t="s">
        <v>1270</v>
      </c>
      <c r="K53">
        <v>1</v>
      </c>
      <c r="R53" t="s">
        <v>1255</v>
      </c>
    </row>
    <row r="54" spans="1:18" hidden="1" x14ac:dyDescent="0.25">
      <c r="A54">
        <v>338</v>
      </c>
      <c r="B54" t="s">
        <v>1449</v>
      </c>
      <c r="C54" t="s">
        <v>240</v>
      </c>
      <c r="D54" t="s">
        <v>1450</v>
      </c>
      <c r="E54" t="s">
        <v>1451</v>
      </c>
      <c r="F54" t="s">
        <v>1449</v>
      </c>
      <c r="G54" t="s">
        <v>1452</v>
      </c>
      <c r="H54">
        <v>244</v>
      </c>
      <c r="I54" t="str">
        <f>VLOOKUP(Table4[[#This Row],[ID]],List129[[ID]:[IATI]],7,FALSE)</f>
        <v>GW</v>
      </c>
      <c r="J54" t="s">
        <v>1270</v>
      </c>
      <c r="K54">
        <v>1</v>
      </c>
      <c r="R54" t="s">
        <v>868</v>
      </c>
    </row>
    <row r="55" spans="1:18" hidden="1" x14ac:dyDescent="0.25">
      <c r="A55">
        <v>521</v>
      </c>
      <c r="B55" t="s">
        <v>1453</v>
      </c>
      <c r="C55" t="s">
        <v>240</v>
      </c>
      <c r="D55" t="s">
        <v>1453</v>
      </c>
      <c r="E55" t="s">
        <v>1453</v>
      </c>
      <c r="F55" t="s">
        <v>1453</v>
      </c>
      <c r="G55" t="s">
        <v>1454</v>
      </c>
      <c r="H55">
        <v>446</v>
      </c>
      <c r="I55" t="str">
        <f>VLOOKUP(Table4[[#This Row],[ID]],List129[[ID]:[IATI]],7,FALSE)</f>
        <v>GY</v>
      </c>
      <c r="J55" t="s">
        <v>1276</v>
      </c>
      <c r="K55">
        <v>1</v>
      </c>
      <c r="R55" t="s">
        <v>1267</v>
      </c>
    </row>
    <row r="56" spans="1:18" hidden="1" x14ac:dyDescent="0.25">
      <c r="A56">
        <v>419</v>
      </c>
      <c r="B56" t="s">
        <v>1296</v>
      </c>
      <c r="C56" t="s">
        <v>1241</v>
      </c>
      <c r="D56" t="s">
        <v>1296</v>
      </c>
      <c r="E56" t="s">
        <v>1296</v>
      </c>
      <c r="F56" t="s">
        <v>1296</v>
      </c>
      <c r="G56" t="s">
        <v>1455</v>
      </c>
      <c r="H56">
        <v>349</v>
      </c>
      <c r="I56" t="str">
        <f>VLOOKUP(Table4[[#This Row],[ID]],List129[[ID]:[IATI]],7,FALSE)</f>
        <v>HT</v>
      </c>
      <c r="J56" t="s">
        <v>1276</v>
      </c>
      <c r="K56">
        <v>1</v>
      </c>
      <c r="R56" t="s">
        <v>901</v>
      </c>
    </row>
    <row r="57" spans="1:18" hidden="1" x14ac:dyDescent="0.25">
      <c r="A57">
        <v>414</v>
      </c>
      <c r="B57" t="s">
        <v>1456</v>
      </c>
      <c r="C57" t="s">
        <v>240</v>
      </c>
      <c r="D57" t="s">
        <v>1457</v>
      </c>
      <c r="E57" t="s">
        <v>1457</v>
      </c>
      <c r="F57" t="s">
        <v>1456</v>
      </c>
      <c r="G57" t="s">
        <v>1458</v>
      </c>
      <c r="H57">
        <v>351</v>
      </c>
      <c r="I57" t="str">
        <f>VLOOKUP(Table4[[#This Row],[ID]],List129[[ID]:[IATI]],7,FALSE)</f>
        <v>HN</v>
      </c>
      <c r="J57" t="s">
        <v>1276</v>
      </c>
      <c r="K57">
        <v>1</v>
      </c>
      <c r="R57" t="s">
        <v>880</v>
      </c>
    </row>
    <row r="58" spans="1:18" x14ac:dyDescent="0.25">
      <c r="A58">
        <v>207</v>
      </c>
      <c r="B58" t="s">
        <v>1459</v>
      </c>
      <c r="C58" t="s">
        <v>240</v>
      </c>
      <c r="D58" t="s">
        <v>1459</v>
      </c>
      <c r="E58" t="s">
        <v>1460</v>
      </c>
      <c r="F58" t="s">
        <v>1459</v>
      </c>
      <c r="G58" t="s">
        <v>1461</v>
      </c>
      <c r="H58">
        <v>645</v>
      </c>
      <c r="I58" t="str">
        <f>VLOOKUP(Table4[[#This Row],[ID]],List129[[ID]:[IATI]],7,FALSE)</f>
        <v>IN</v>
      </c>
      <c r="J58" t="s">
        <v>1253</v>
      </c>
      <c r="K58">
        <v>1</v>
      </c>
      <c r="R58" t="s">
        <v>1278</v>
      </c>
    </row>
    <row r="59" spans="1:18" x14ac:dyDescent="0.25">
      <c r="A59">
        <v>208</v>
      </c>
      <c r="B59" t="s">
        <v>1302</v>
      </c>
      <c r="C59" t="s">
        <v>1241</v>
      </c>
      <c r="D59" t="s">
        <v>1462</v>
      </c>
      <c r="E59" t="s">
        <v>1462</v>
      </c>
      <c r="F59" t="s">
        <v>1302</v>
      </c>
      <c r="G59" t="s">
        <v>1463</v>
      </c>
      <c r="H59">
        <v>738</v>
      </c>
      <c r="I59" t="str">
        <f>VLOOKUP(Table4[[#This Row],[ID]],List129[[ID]:[IATI]],7,FALSE)</f>
        <v>ID</v>
      </c>
      <c r="J59" t="s">
        <v>1253</v>
      </c>
      <c r="K59">
        <v>1</v>
      </c>
      <c r="R59" t="s">
        <v>1350</v>
      </c>
    </row>
    <row r="60" spans="1:18" x14ac:dyDescent="0.25">
      <c r="A60">
        <v>254</v>
      </c>
      <c r="B60" t="s">
        <v>1464</v>
      </c>
      <c r="C60" t="s">
        <v>240</v>
      </c>
      <c r="D60" t="s">
        <v>1465</v>
      </c>
      <c r="E60" t="s">
        <v>1465</v>
      </c>
      <c r="F60" t="s">
        <v>1464</v>
      </c>
      <c r="G60" t="s">
        <v>1466</v>
      </c>
      <c r="H60">
        <v>543</v>
      </c>
      <c r="I60" t="str">
        <f>VLOOKUP(Table4[[#This Row],[ID]],List129[[ID]:[IATI]],7,FALSE)</f>
        <v>IQ</v>
      </c>
      <c r="J60" t="s">
        <v>1253</v>
      </c>
      <c r="K60">
        <v>1</v>
      </c>
      <c r="R60" t="s">
        <v>1283</v>
      </c>
    </row>
    <row r="61" spans="1:18" x14ac:dyDescent="0.25">
      <c r="A61">
        <v>255</v>
      </c>
      <c r="B61" t="s">
        <v>1467</v>
      </c>
      <c r="C61" t="s">
        <v>240</v>
      </c>
      <c r="D61" t="s">
        <v>1467</v>
      </c>
      <c r="E61" t="s">
        <v>1467</v>
      </c>
      <c r="F61" t="s">
        <v>1467</v>
      </c>
      <c r="G61" t="s">
        <v>1468</v>
      </c>
      <c r="H61">
        <v>540</v>
      </c>
      <c r="I61" t="str">
        <f>VLOOKUP(Table4[[#This Row],[ID]],List129[[ID]:[IATI]],7,FALSE)</f>
        <v>IR</v>
      </c>
      <c r="J61" t="s">
        <v>1253</v>
      </c>
      <c r="K61">
        <v>1</v>
      </c>
      <c r="R61" t="s">
        <v>1290</v>
      </c>
    </row>
    <row r="62" spans="1:18" hidden="1" x14ac:dyDescent="0.25">
      <c r="A62">
        <v>309</v>
      </c>
      <c r="B62" t="s">
        <v>1469</v>
      </c>
      <c r="C62" t="s">
        <v>240</v>
      </c>
      <c r="D62" t="s">
        <v>1470</v>
      </c>
      <c r="E62" t="s">
        <v>1471</v>
      </c>
      <c r="F62" t="s">
        <v>1469</v>
      </c>
      <c r="G62" t="s">
        <v>1472</v>
      </c>
      <c r="H62">
        <v>247</v>
      </c>
      <c r="I62" t="str">
        <f>VLOOKUP(Table4[[#This Row],[ID]],List129[[ID]:[IATI]],7,FALSE)</f>
        <v>CI</v>
      </c>
      <c r="J62" t="s">
        <v>1270</v>
      </c>
      <c r="K62">
        <v>1</v>
      </c>
      <c r="R62" t="s">
        <v>1296</v>
      </c>
    </row>
    <row r="63" spans="1:18" hidden="1" x14ac:dyDescent="0.25">
      <c r="A63">
        <v>415</v>
      </c>
      <c r="B63" t="s">
        <v>1473</v>
      </c>
      <c r="C63" t="s">
        <v>240</v>
      </c>
      <c r="D63" t="s">
        <v>1473</v>
      </c>
      <c r="E63" t="s">
        <v>1474</v>
      </c>
      <c r="F63" t="s">
        <v>1473</v>
      </c>
      <c r="G63" t="s">
        <v>1475</v>
      </c>
      <c r="H63">
        <v>354</v>
      </c>
      <c r="I63" t="str">
        <f>VLOOKUP(Table4[[#This Row],[ID]],List129[[ID]:[IATI]],7,FALSE)</f>
        <v>JM</v>
      </c>
      <c r="J63" t="s">
        <v>1276</v>
      </c>
      <c r="K63">
        <v>1</v>
      </c>
      <c r="R63" t="s">
        <v>1302</v>
      </c>
    </row>
    <row r="64" spans="1:18" x14ac:dyDescent="0.25">
      <c r="A64">
        <v>263</v>
      </c>
      <c r="B64" t="s">
        <v>1476</v>
      </c>
      <c r="C64" t="s">
        <v>240</v>
      </c>
      <c r="D64" t="s">
        <v>1477</v>
      </c>
      <c r="E64" t="s">
        <v>1478</v>
      </c>
      <c r="F64" t="s">
        <v>1476</v>
      </c>
      <c r="G64" t="s">
        <v>1479</v>
      </c>
      <c r="H64">
        <v>580</v>
      </c>
      <c r="I64" t="str">
        <f>VLOOKUP(Table4[[#This Row],[ID]],List129[[ID]:[IATI]],7,FALSE)</f>
        <v>YE</v>
      </c>
      <c r="J64" t="s">
        <v>1253</v>
      </c>
      <c r="K64">
        <v>1</v>
      </c>
      <c r="R64" t="s">
        <v>1306</v>
      </c>
    </row>
    <row r="65" spans="1:18" x14ac:dyDescent="0.25">
      <c r="A65">
        <v>257</v>
      </c>
      <c r="B65" t="s">
        <v>1480</v>
      </c>
      <c r="C65" t="s">
        <v>240</v>
      </c>
      <c r="D65" t="s">
        <v>1481</v>
      </c>
      <c r="E65" t="s">
        <v>1481</v>
      </c>
      <c r="F65" t="s">
        <v>1480</v>
      </c>
      <c r="G65" t="s">
        <v>1482</v>
      </c>
      <c r="H65">
        <v>549</v>
      </c>
      <c r="I65" t="str">
        <f>VLOOKUP(Table4[[#This Row],[ID]],List129[[ID]:[IATI]],7,FALSE)</f>
        <v>JO</v>
      </c>
      <c r="J65" t="s">
        <v>1253</v>
      </c>
      <c r="K65">
        <v>1</v>
      </c>
      <c r="R65" t="s">
        <v>1312</v>
      </c>
    </row>
    <row r="66" spans="1:18" hidden="1" x14ac:dyDescent="0.25">
      <c r="A66">
        <v>339</v>
      </c>
      <c r="B66" t="s">
        <v>1483</v>
      </c>
      <c r="C66" t="s">
        <v>240</v>
      </c>
      <c r="D66" t="s">
        <v>1484</v>
      </c>
      <c r="E66" t="s">
        <v>1485</v>
      </c>
      <c r="F66" t="s">
        <v>1483</v>
      </c>
      <c r="G66" t="s">
        <v>1486</v>
      </c>
      <c r="H66">
        <v>230</v>
      </c>
      <c r="I66" t="str">
        <f>VLOOKUP(Table4[[#This Row],[ID]],List129[[ID]:[IATI]],7,FALSE)</f>
        <v>CV</v>
      </c>
      <c r="J66" t="s">
        <v>1270</v>
      </c>
      <c r="K66">
        <v>1</v>
      </c>
      <c r="R66" t="s">
        <v>871</v>
      </c>
    </row>
    <row r="67" spans="1:18" hidden="1" x14ac:dyDescent="0.25">
      <c r="A67">
        <v>304</v>
      </c>
      <c r="B67" t="s">
        <v>1487</v>
      </c>
      <c r="C67" t="s">
        <v>240</v>
      </c>
      <c r="D67" t="s">
        <v>1488</v>
      </c>
      <c r="E67" t="s">
        <v>1489</v>
      </c>
      <c r="F67" t="s">
        <v>1487</v>
      </c>
      <c r="G67" t="s">
        <v>1490</v>
      </c>
      <c r="H67">
        <v>229</v>
      </c>
      <c r="I67" t="str">
        <f>VLOOKUP(Table4[[#This Row],[ID]],List129[[ID]:[IATI]],7,FALSE)</f>
        <v>CM</v>
      </c>
      <c r="J67" t="s">
        <v>1270</v>
      </c>
      <c r="K67">
        <v>1</v>
      </c>
      <c r="R67" t="s">
        <v>1322</v>
      </c>
    </row>
    <row r="68" spans="1:18" x14ac:dyDescent="0.25">
      <c r="A68">
        <v>273</v>
      </c>
      <c r="B68" t="s">
        <v>1491</v>
      </c>
      <c r="C68" t="s">
        <v>240</v>
      </c>
      <c r="D68" t="s">
        <v>1492</v>
      </c>
      <c r="E68" t="s">
        <v>1493</v>
      </c>
      <c r="F68" t="s">
        <v>1491</v>
      </c>
      <c r="G68" t="s">
        <v>1494</v>
      </c>
      <c r="H68">
        <v>613</v>
      </c>
      <c r="I68" t="str">
        <f>VLOOKUP(Table4[[#This Row],[ID]],List129[[ID]:[IATI]],7,FALSE)</f>
        <v>KZ</v>
      </c>
      <c r="J68" t="s">
        <v>1253</v>
      </c>
      <c r="K68">
        <v>1</v>
      </c>
      <c r="R68" t="s">
        <v>1326</v>
      </c>
    </row>
    <row r="69" spans="1:18" hidden="1" x14ac:dyDescent="0.25">
      <c r="A69">
        <v>336</v>
      </c>
      <c r="B69" t="s">
        <v>1306</v>
      </c>
      <c r="C69" t="s">
        <v>1241</v>
      </c>
      <c r="D69" t="s">
        <v>1495</v>
      </c>
      <c r="E69" t="s">
        <v>1306</v>
      </c>
      <c r="F69" t="s">
        <v>1306</v>
      </c>
      <c r="G69" t="s">
        <v>1496</v>
      </c>
      <c r="H69">
        <v>248</v>
      </c>
      <c r="I69" t="str">
        <f>VLOOKUP(Table4[[#This Row],[ID]],List129[[ID]:[IATI]],7,FALSE)</f>
        <v>KE</v>
      </c>
      <c r="J69" t="s">
        <v>1270</v>
      </c>
      <c r="K69">
        <v>1</v>
      </c>
      <c r="R69" t="s">
        <v>874</v>
      </c>
    </row>
    <row r="70" spans="1:18" x14ac:dyDescent="0.25">
      <c r="A70">
        <v>274</v>
      </c>
      <c r="B70" t="s">
        <v>1497</v>
      </c>
      <c r="C70" t="s">
        <v>240</v>
      </c>
      <c r="D70" t="s">
        <v>1498</v>
      </c>
      <c r="E70" t="s">
        <v>1499</v>
      </c>
      <c r="F70" t="s">
        <v>1497</v>
      </c>
      <c r="G70" t="s">
        <v>1500</v>
      </c>
      <c r="H70">
        <v>614</v>
      </c>
      <c r="I70" t="str">
        <f>VLOOKUP(Table4[[#This Row],[ID]],List129[[ID]:[IATI]],7,FALSE)</f>
        <v>KG</v>
      </c>
      <c r="J70" t="s">
        <v>1253</v>
      </c>
      <c r="K70">
        <v>1</v>
      </c>
      <c r="R70" t="s">
        <v>877</v>
      </c>
    </row>
    <row r="71" spans="1:18" hidden="1" x14ac:dyDescent="0.25">
      <c r="A71">
        <v>622</v>
      </c>
      <c r="B71" t="s">
        <v>1501</v>
      </c>
      <c r="C71" t="s">
        <v>240</v>
      </c>
      <c r="D71" t="s">
        <v>1501</v>
      </c>
      <c r="E71" t="s">
        <v>1501</v>
      </c>
      <c r="F71" t="s">
        <v>1501</v>
      </c>
      <c r="G71" t="s">
        <v>1502</v>
      </c>
      <c r="H71">
        <v>836</v>
      </c>
      <c r="I71" t="str">
        <f>VLOOKUP(Table4[[#This Row],[ID]],List129[[ID]:[IATI]],7,FALSE)</f>
        <v>KI</v>
      </c>
      <c r="J71" t="s">
        <v>1394</v>
      </c>
      <c r="K71">
        <v>1</v>
      </c>
      <c r="R71" t="s">
        <v>1344</v>
      </c>
    </row>
    <row r="72" spans="1:18" x14ac:dyDescent="0.25">
      <c r="A72">
        <v>219</v>
      </c>
      <c r="B72" t="s">
        <v>1503</v>
      </c>
      <c r="C72" t="s">
        <v>240</v>
      </c>
      <c r="D72" t="s">
        <v>1504</v>
      </c>
      <c r="E72" t="s">
        <v>1505</v>
      </c>
      <c r="F72" t="s">
        <v>1503</v>
      </c>
      <c r="G72" t="s">
        <v>1506</v>
      </c>
      <c r="H72">
        <v>740</v>
      </c>
      <c r="I72" t="str">
        <f>VLOOKUP(Table4[[#This Row],[ID]],List129[[ID]:[IATI]],7,FALSE)</f>
        <v>KP</v>
      </c>
      <c r="J72" t="s">
        <v>1253</v>
      </c>
      <c r="K72">
        <v>1</v>
      </c>
      <c r="R72" t="s">
        <v>1356</v>
      </c>
    </row>
    <row r="73" spans="1:18" hidden="1" x14ac:dyDescent="0.25">
      <c r="A73">
        <v>699</v>
      </c>
      <c r="B73" t="s">
        <v>1507</v>
      </c>
      <c r="C73" t="s">
        <v>240</v>
      </c>
      <c r="D73" t="s">
        <v>1507</v>
      </c>
      <c r="E73" t="s">
        <v>1507</v>
      </c>
      <c r="F73" t="s">
        <v>1507</v>
      </c>
      <c r="H73">
        <v>57</v>
      </c>
      <c r="I73" t="str">
        <f>VLOOKUP(Table4[[#This Row],[ID]],List129[[ID]:[IATI]],7,FALSE)</f>
        <v>XK</v>
      </c>
      <c r="J73" t="s">
        <v>1259</v>
      </c>
      <c r="K73">
        <v>1</v>
      </c>
      <c r="R73" t="s">
        <v>1361</v>
      </c>
    </row>
    <row r="74" spans="1:18" hidden="1" x14ac:dyDescent="0.25">
      <c r="A74">
        <v>136</v>
      </c>
      <c r="B74" t="s">
        <v>1508</v>
      </c>
      <c r="C74" t="s">
        <v>240</v>
      </c>
      <c r="D74" t="s">
        <v>1509</v>
      </c>
      <c r="E74" t="s">
        <v>1510</v>
      </c>
      <c r="F74" t="s">
        <v>1508</v>
      </c>
      <c r="G74" t="s">
        <v>1511</v>
      </c>
      <c r="H74">
        <v>62</v>
      </c>
      <c r="I74" t="str">
        <f>VLOOKUP(Table4[[#This Row],[ID]],List129[[ID]:[IATI]],7,FALSE)</f>
        <v>HR</v>
      </c>
      <c r="J74" t="s">
        <v>1259</v>
      </c>
      <c r="K74">
        <v>1</v>
      </c>
      <c r="R74" t="s">
        <v>1367</v>
      </c>
    </row>
    <row r="75" spans="1:18" x14ac:dyDescent="0.25">
      <c r="A75">
        <v>210</v>
      </c>
      <c r="B75" t="s">
        <v>902</v>
      </c>
      <c r="C75" t="s">
        <v>240</v>
      </c>
      <c r="D75" t="s">
        <v>902</v>
      </c>
      <c r="E75" t="s">
        <v>902</v>
      </c>
      <c r="F75" t="s">
        <v>902</v>
      </c>
      <c r="G75" t="s">
        <v>1512</v>
      </c>
      <c r="H75">
        <v>745</v>
      </c>
      <c r="I75" t="str">
        <f>VLOOKUP(Table4[[#This Row],[ID]],List129[[ID]:[IATI]],7,FALSE)</f>
        <v>LA</v>
      </c>
      <c r="J75" t="s">
        <v>1253</v>
      </c>
      <c r="K75">
        <v>1</v>
      </c>
      <c r="R75" t="s">
        <v>1335</v>
      </c>
    </row>
    <row r="76" spans="1:18" hidden="1" x14ac:dyDescent="0.25">
      <c r="A76">
        <v>301</v>
      </c>
      <c r="B76" t="s">
        <v>1513</v>
      </c>
      <c r="C76" t="s">
        <v>240</v>
      </c>
      <c r="D76" t="s">
        <v>1513</v>
      </c>
      <c r="E76" t="s">
        <v>1513</v>
      </c>
      <c r="F76" t="s">
        <v>1513</v>
      </c>
      <c r="G76" t="s">
        <v>1514</v>
      </c>
      <c r="H76">
        <v>249</v>
      </c>
      <c r="I76" t="str">
        <f>VLOOKUP(Table4[[#This Row],[ID]],List129[[ID]:[IATI]],7,FALSE)</f>
        <v>LS</v>
      </c>
      <c r="J76" t="s">
        <v>1270</v>
      </c>
      <c r="K76">
        <v>1</v>
      </c>
      <c r="R76" t="s">
        <v>903</v>
      </c>
    </row>
    <row r="77" spans="1:18" x14ac:dyDescent="0.25">
      <c r="A77">
        <v>258</v>
      </c>
      <c r="B77" t="s">
        <v>1515</v>
      </c>
      <c r="C77" t="s">
        <v>240</v>
      </c>
      <c r="D77" t="s">
        <v>1516</v>
      </c>
      <c r="E77" t="s">
        <v>1517</v>
      </c>
      <c r="F77" t="s">
        <v>1515</v>
      </c>
      <c r="G77" t="s">
        <v>1518</v>
      </c>
      <c r="H77">
        <v>555</v>
      </c>
      <c r="I77" t="str">
        <f>VLOOKUP(Table4[[#This Row],[ID]],List129[[ID]:[IATI]],7,FALSE)</f>
        <v>LB</v>
      </c>
      <c r="J77" t="s">
        <v>1253</v>
      </c>
      <c r="K77">
        <v>1</v>
      </c>
    </row>
    <row r="78" spans="1:18" hidden="1" x14ac:dyDescent="0.25">
      <c r="A78">
        <v>318</v>
      </c>
      <c r="B78" t="s">
        <v>1519</v>
      </c>
      <c r="C78" t="s">
        <v>240</v>
      </c>
      <c r="D78" t="s">
        <v>1519</v>
      </c>
      <c r="E78" t="s">
        <v>1519</v>
      </c>
      <c r="F78" t="s">
        <v>1519</v>
      </c>
      <c r="G78" t="s">
        <v>1520</v>
      </c>
      <c r="H78">
        <v>251</v>
      </c>
      <c r="I78" t="str">
        <f>VLOOKUP(Table4[[#This Row],[ID]],List129[[ID]:[IATI]],7,FALSE)</f>
        <v>LR</v>
      </c>
      <c r="J78" t="s">
        <v>1270</v>
      </c>
      <c r="K78">
        <v>1</v>
      </c>
    </row>
    <row r="79" spans="1:18" hidden="1" x14ac:dyDescent="0.25">
      <c r="A79">
        <v>353</v>
      </c>
      <c r="B79" t="s">
        <v>1521</v>
      </c>
      <c r="C79" t="s">
        <v>240</v>
      </c>
      <c r="D79" t="s">
        <v>1522</v>
      </c>
      <c r="E79" t="s">
        <v>1523</v>
      </c>
      <c r="F79" t="s">
        <v>1521</v>
      </c>
      <c r="G79" t="s">
        <v>1524</v>
      </c>
      <c r="H79">
        <v>133</v>
      </c>
      <c r="I79" t="str">
        <f>VLOOKUP(Table4[[#This Row],[ID]],List129[[ID]:[IATI]],7,FALSE)</f>
        <v>LY</v>
      </c>
      <c r="J79" t="s">
        <v>1265</v>
      </c>
      <c r="K79">
        <v>1</v>
      </c>
    </row>
    <row r="80" spans="1:18" hidden="1" x14ac:dyDescent="0.25">
      <c r="A80">
        <v>137</v>
      </c>
      <c r="B80" t="s">
        <v>1525</v>
      </c>
      <c r="C80" t="s">
        <v>240</v>
      </c>
      <c r="D80" t="s">
        <v>1526</v>
      </c>
      <c r="E80" t="s">
        <v>1527</v>
      </c>
      <c r="F80" t="s">
        <v>1525</v>
      </c>
      <c r="G80" t="s">
        <v>1528</v>
      </c>
      <c r="H80">
        <v>66</v>
      </c>
      <c r="I80" t="str">
        <f>VLOOKUP(Table4[[#This Row],[ID]],List129[[ID]:[IATI]],7,FALSE)</f>
        <v>MK</v>
      </c>
      <c r="J80" t="s">
        <v>1259</v>
      </c>
      <c r="K80">
        <v>1</v>
      </c>
    </row>
    <row r="81" spans="1:11" hidden="1" x14ac:dyDescent="0.25">
      <c r="A81">
        <v>324</v>
      </c>
      <c r="B81" t="s">
        <v>1312</v>
      </c>
      <c r="C81" t="s">
        <v>1241</v>
      </c>
      <c r="D81" t="s">
        <v>1311</v>
      </c>
      <c r="E81" t="s">
        <v>1311</v>
      </c>
      <c r="F81" t="s">
        <v>1312</v>
      </c>
      <c r="G81" t="s">
        <v>1529</v>
      </c>
      <c r="H81">
        <v>252</v>
      </c>
      <c r="I81" t="str">
        <f>VLOOKUP(Table4[[#This Row],[ID]],List129[[ID]:[IATI]],7,FALSE)</f>
        <v>MG</v>
      </c>
      <c r="J81" t="s">
        <v>1270</v>
      </c>
      <c r="K81">
        <v>1</v>
      </c>
    </row>
    <row r="82" spans="1:11" hidden="1" x14ac:dyDescent="0.25">
      <c r="A82">
        <v>358</v>
      </c>
      <c r="B82" t="s">
        <v>1530</v>
      </c>
      <c r="C82" t="s">
        <v>240</v>
      </c>
      <c r="D82" t="s">
        <v>1530</v>
      </c>
      <c r="E82" t="s">
        <v>1530</v>
      </c>
      <c r="F82" t="s">
        <v>1530</v>
      </c>
      <c r="G82" t="s">
        <v>1531</v>
      </c>
      <c r="H82">
        <v>253</v>
      </c>
      <c r="I82" t="str">
        <f>VLOOKUP(Table4[[#This Row],[ID]],List129[[ID]:[IATI]],7,FALSE)</f>
        <v>MW</v>
      </c>
      <c r="J82" t="s">
        <v>1270</v>
      </c>
      <c r="K82">
        <v>1</v>
      </c>
    </row>
    <row r="83" spans="1:11" x14ac:dyDescent="0.25">
      <c r="A83">
        <v>222</v>
      </c>
      <c r="B83" t="s">
        <v>1532</v>
      </c>
      <c r="C83" t="s">
        <v>240</v>
      </c>
      <c r="D83" t="s">
        <v>1533</v>
      </c>
      <c r="E83" t="s">
        <v>1534</v>
      </c>
      <c r="F83" t="s">
        <v>1532</v>
      </c>
      <c r="G83" t="s">
        <v>1535</v>
      </c>
      <c r="H83">
        <v>655</v>
      </c>
      <c r="I83" t="str">
        <f>VLOOKUP(Table4[[#This Row],[ID]],List129[[ID]:[IATI]],7,FALSE)</f>
        <v>MV</v>
      </c>
      <c r="J83" t="s">
        <v>1253</v>
      </c>
      <c r="K83">
        <v>1</v>
      </c>
    </row>
    <row r="84" spans="1:11" x14ac:dyDescent="0.25">
      <c r="A84">
        <v>212</v>
      </c>
      <c r="B84" t="s">
        <v>1536</v>
      </c>
      <c r="C84" t="s">
        <v>240</v>
      </c>
      <c r="D84" t="s">
        <v>1537</v>
      </c>
      <c r="E84" t="s">
        <v>1538</v>
      </c>
      <c r="F84" t="s">
        <v>1536</v>
      </c>
      <c r="G84" t="s">
        <v>1539</v>
      </c>
      <c r="H84">
        <v>751</v>
      </c>
      <c r="I84" t="str">
        <f>VLOOKUP(Table4[[#This Row],[ID]],List129[[ID]:[IATI]],7,FALSE)</f>
        <v>MY</v>
      </c>
      <c r="J84" t="s">
        <v>1253</v>
      </c>
      <c r="K84">
        <v>1</v>
      </c>
    </row>
    <row r="85" spans="1:11" hidden="1" x14ac:dyDescent="0.25">
      <c r="A85">
        <v>319</v>
      </c>
      <c r="B85" t="s">
        <v>871</v>
      </c>
      <c r="C85" t="s">
        <v>1241</v>
      </c>
      <c r="D85" t="s">
        <v>1316</v>
      </c>
      <c r="E85" t="s">
        <v>1316</v>
      </c>
      <c r="F85" t="s">
        <v>871</v>
      </c>
      <c r="G85" t="s">
        <v>1540</v>
      </c>
      <c r="H85">
        <v>255</v>
      </c>
      <c r="I85" t="str">
        <f>VLOOKUP(Table4[[#This Row],[ID]],List129[[ID]:[IATI]],7,FALSE)</f>
        <v>ML</v>
      </c>
      <c r="J85" t="s">
        <v>1270</v>
      </c>
      <c r="K85">
        <v>1</v>
      </c>
    </row>
    <row r="86" spans="1:11" hidden="1" x14ac:dyDescent="0.25">
      <c r="A86">
        <v>354</v>
      </c>
      <c r="B86" t="s">
        <v>1322</v>
      </c>
      <c r="C86" t="s">
        <v>1241</v>
      </c>
      <c r="D86" t="s">
        <v>1541</v>
      </c>
      <c r="E86" t="s">
        <v>1321</v>
      </c>
      <c r="F86" t="s">
        <v>1322</v>
      </c>
      <c r="G86" t="s">
        <v>1542</v>
      </c>
      <c r="H86">
        <v>136</v>
      </c>
      <c r="I86" t="str">
        <f>VLOOKUP(Table4[[#This Row],[ID]],List129[[ID]:[IATI]],7,FALSE)</f>
        <v>MA</v>
      </c>
      <c r="J86" t="s">
        <v>1265</v>
      </c>
      <c r="K86">
        <v>1</v>
      </c>
    </row>
    <row r="87" spans="1:11" hidden="1" x14ac:dyDescent="0.25">
      <c r="A87">
        <v>626</v>
      </c>
      <c r="B87" t="s">
        <v>1543</v>
      </c>
      <c r="C87" t="s">
        <v>240</v>
      </c>
      <c r="D87" t="s">
        <v>1544</v>
      </c>
      <c r="E87" t="s">
        <v>1545</v>
      </c>
      <c r="F87" t="s">
        <v>1543</v>
      </c>
      <c r="G87" t="s">
        <v>1546</v>
      </c>
      <c r="H87">
        <v>859</v>
      </c>
      <c r="I87" t="str">
        <f>VLOOKUP(Table4[[#This Row],[ID]],List129[[ID]:[IATI]],7,FALSE)</f>
        <v>MH</v>
      </c>
      <c r="J87" t="s">
        <v>1394</v>
      </c>
      <c r="K87">
        <v>1</v>
      </c>
    </row>
    <row r="88" spans="1:11" hidden="1" x14ac:dyDescent="0.25">
      <c r="A88">
        <v>355</v>
      </c>
      <c r="B88" t="s">
        <v>1547</v>
      </c>
      <c r="C88" t="s">
        <v>240</v>
      </c>
      <c r="D88" t="s">
        <v>1548</v>
      </c>
      <c r="E88" t="s">
        <v>1548</v>
      </c>
      <c r="F88" t="s">
        <v>1547</v>
      </c>
      <c r="G88" t="s">
        <v>1549</v>
      </c>
      <c r="H88">
        <v>256</v>
      </c>
      <c r="I88" t="str">
        <f>VLOOKUP(Table4[[#This Row],[ID]],List129[[ID]:[IATI]],7,FALSE)</f>
        <v>MR</v>
      </c>
      <c r="J88" t="s">
        <v>1270</v>
      </c>
      <c r="K88">
        <v>1</v>
      </c>
    </row>
    <row r="89" spans="1:11" hidden="1" x14ac:dyDescent="0.25">
      <c r="A89">
        <v>317</v>
      </c>
      <c r="B89" t="s">
        <v>1550</v>
      </c>
      <c r="C89" t="s">
        <v>240</v>
      </c>
      <c r="D89" t="s">
        <v>1550</v>
      </c>
      <c r="E89" t="s">
        <v>1551</v>
      </c>
      <c r="F89" t="s">
        <v>1550</v>
      </c>
      <c r="G89" t="s">
        <v>1552</v>
      </c>
      <c r="H89">
        <v>257</v>
      </c>
      <c r="I89" t="str">
        <f>VLOOKUP(Table4[[#This Row],[ID]],List129[[ID]:[IATI]],7,FALSE)</f>
        <v>MU</v>
      </c>
      <c r="J89" t="s">
        <v>1270</v>
      </c>
      <c r="K89">
        <v>1</v>
      </c>
    </row>
    <row r="90" spans="1:11" hidden="1" x14ac:dyDescent="0.25">
      <c r="A90">
        <v>386</v>
      </c>
      <c r="B90" t="s">
        <v>1553</v>
      </c>
      <c r="C90" t="s">
        <v>240</v>
      </c>
      <c r="D90" t="s">
        <v>1554</v>
      </c>
      <c r="E90" t="s">
        <v>1554</v>
      </c>
      <c r="G90" t="s">
        <v>1555</v>
      </c>
      <c r="H90">
        <v>258</v>
      </c>
      <c r="I90" t="str">
        <f>VLOOKUP(Table4[[#This Row],[ID]],List129[[ID]:[IATI]],7,FALSE)</f>
        <v>YT</v>
      </c>
      <c r="J90" t="s">
        <v>1270</v>
      </c>
      <c r="K90">
        <v>1</v>
      </c>
    </row>
    <row r="91" spans="1:11" hidden="1" x14ac:dyDescent="0.25">
      <c r="A91">
        <v>416</v>
      </c>
      <c r="B91" t="s">
        <v>1556</v>
      </c>
      <c r="C91" t="s">
        <v>240</v>
      </c>
      <c r="D91" t="s">
        <v>1556</v>
      </c>
      <c r="E91" t="s">
        <v>1557</v>
      </c>
      <c r="F91" t="s">
        <v>1556</v>
      </c>
      <c r="G91" t="s">
        <v>1558</v>
      </c>
      <c r="H91">
        <v>358</v>
      </c>
      <c r="I91" t="str">
        <f>VLOOKUP(Table4[[#This Row],[ID]],List129[[ID]:[IATI]],7,FALSE)</f>
        <v>MX</v>
      </c>
      <c r="J91" t="s">
        <v>1276</v>
      </c>
      <c r="K91">
        <v>1</v>
      </c>
    </row>
    <row r="92" spans="1:11" hidden="1" x14ac:dyDescent="0.25">
      <c r="A92">
        <v>625</v>
      </c>
      <c r="B92" t="s">
        <v>1559</v>
      </c>
      <c r="C92" t="s">
        <v>240</v>
      </c>
      <c r="D92" t="s">
        <v>1560</v>
      </c>
      <c r="E92" t="s">
        <v>1561</v>
      </c>
      <c r="F92" t="s">
        <v>1559</v>
      </c>
      <c r="G92" t="s">
        <v>1562</v>
      </c>
      <c r="H92">
        <v>860</v>
      </c>
      <c r="I92" t="str">
        <f>VLOOKUP(Table4[[#This Row],[ID]],List129[[ID]:[IATI]],7,FALSE)</f>
        <v>FM</v>
      </c>
      <c r="J92" t="s">
        <v>1394</v>
      </c>
      <c r="K92">
        <v>1</v>
      </c>
    </row>
    <row r="93" spans="1:11" hidden="1" x14ac:dyDescent="0.25">
      <c r="A93">
        <v>144</v>
      </c>
      <c r="B93" t="s">
        <v>1563</v>
      </c>
      <c r="C93" t="s">
        <v>240</v>
      </c>
      <c r="D93" t="s">
        <v>1564</v>
      </c>
      <c r="E93" t="s">
        <v>1565</v>
      </c>
      <c r="F93" t="s">
        <v>1563</v>
      </c>
      <c r="G93" t="s">
        <v>1566</v>
      </c>
      <c r="H93">
        <v>93</v>
      </c>
      <c r="I93" t="str">
        <f>VLOOKUP(Table4[[#This Row],[ID]],List129[[ID]:[IATI]],7,FALSE)</f>
        <v>MD</v>
      </c>
      <c r="J93" t="s">
        <v>1259</v>
      </c>
      <c r="K93">
        <v>1</v>
      </c>
    </row>
    <row r="94" spans="1:11" x14ac:dyDescent="0.25">
      <c r="A94">
        <v>221</v>
      </c>
      <c r="B94" t="s">
        <v>1567</v>
      </c>
      <c r="C94" t="s">
        <v>240</v>
      </c>
      <c r="D94" t="s">
        <v>1568</v>
      </c>
      <c r="E94" t="s">
        <v>1568</v>
      </c>
      <c r="F94" t="s">
        <v>1567</v>
      </c>
      <c r="G94" t="s">
        <v>1569</v>
      </c>
      <c r="H94">
        <v>753</v>
      </c>
      <c r="I94" t="str">
        <f>VLOOKUP(Table4[[#This Row],[ID]],List129[[ID]:[IATI]],7,FALSE)</f>
        <v>MN</v>
      </c>
      <c r="J94" t="s">
        <v>1253</v>
      </c>
      <c r="K94">
        <v>1</v>
      </c>
    </row>
    <row r="95" spans="1:11" hidden="1" x14ac:dyDescent="0.25">
      <c r="A95">
        <v>151</v>
      </c>
      <c r="B95" t="s">
        <v>1570</v>
      </c>
      <c r="C95" t="s">
        <v>240</v>
      </c>
      <c r="D95" t="s">
        <v>1570</v>
      </c>
      <c r="E95" t="s">
        <v>1571</v>
      </c>
      <c r="F95" t="s">
        <v>1570</v>
      </c>
      <c r="G95" t="s">
        <v>1572</v>
      </c>
      <c r="H95">
        <v>65</v>
      </c>
      <c r="I95" t="str">
        <f>VLOOKUP(Table4[[#This Row],[ID]],List129[[ID]:[IATI]],7,FALSE)</f>
        <v>ME</v>
      </c>
      <c r="J95" t="s">
        <v>1259</v>
      </c>
      <c r="K95">
        <v>1</v>
      </c>
    </row>
    <row r="96" spans="1:11" hidden="1" x14ac:dyDescent="0.25">
      <c r="A96">
        <v>493</v>
      </c>
      <c r="B96" t="s">
        <v>1573</v>
      </c>
      <c r="C96" t="s">
        <v>240</v>
      </c>
      <c r="D96" t="s">
        <v>1574</v>
      </c>
      <c r="E96" t="s">
        <v>1575</v>
      </c>
      <c r="F96" t="s">
        <v>1573</v>
      </c>
      <c r="G96" t="s">
        <v>1576</v>
      </c>
      <c r="H96">
        <v>385</v>
      </c>
      <c r="I96" t="str">
        <f>VLOOKUP(Table4[[#This Row],[ID]],List129[[ID]:[IATI]],7,FALSE)</f>
        <v>MS</v>
      </c>
      <c r="J96" t="s">
        <v>1276</v>
      </c>
      <c r="K96">
        <v>1</v>
      </c>
    </row>
    <row r="97" spans="1:11" hidden="1" x14ac:dyDescent="0.25">
      <c r="A97">
        <v>340</v>
      </c>
      <c r="B97" t="s">
        <v>1326</v>
      </c>
      <c r="C97" t="s">
        <v>1241</v>
      </c>
      <c r="D97" t="s">
        <v>1326</v>
      </c>
      <c r="E97" t="s">
        <v>1326</v>
      </c>
      <c r="F97" t="s">
        <v>1326</v>
      </c>
      <c r="G97" t="s">
        <v>1577</v>
      </c>
      <c r="H97">
        <v>259</v>
      </c>
      <c r="I97" t="str">
        <f>VLOOKUP(Table4[[#This Row],[ID]],List129[[ID]:[IATI]],7,FALSE)</f>
        <v>MZ</v>
      </c>
      <c r="J97" t="s">
        <v>1270</v>
      </c>
      <c r="K97">
        <v>1</v>
      </c>
    </row>
    <row r="98" spans="1:11" x14ac:dyDescent="0.25">
      <c r="A98">
        <v>201</v>
      </c>
      <c r="B98" t="s">
        <v>1578</v>
      </c>
      <c r="C98" t="s">
        <v>240</v>
      </c>
      <c r="D98" t="s">
        <v>1579</v>
      </c>
      <c r="E98" t="s">
        <v>1580</v>
      </c>
      <c r="F98" t="s">
        <v>1578</v>
      </c>
      <c r="G98" t="s">
        <v>1581</v>
      </c>
      <c r="H98">
        <v>635</v>
      </c>
      <c r="I98" t="str">
        <f>VLOOKUP(Table4[[#This Row],[ID]],List129[[ID]:[IATI]],7,FALSE)</f>
        <v>MM</v>
      </c>
      <c r="J98" t="s">
        <v>1253</v>
      </c>
      <c r="K98">
        <v>1</v>
      </c>
    </row>
    <row r="99" spans="1:11" hidden="1" x14ac:dyDescent="0.25">
      <c r="A99">
        <v>384</v>
      </c>
      <c r="B99" t="s">
        <v>1582</v>
      </c>
      <c r="C99" t="s">
        <v>240</v>
      </c>
      <c r="D99" t="s">
        <v>1583</v>
      </c>
      <c r="E99" t="s">
        <v>1583</v>
      </c>
      <c r="F99" t="s">
        <v>1582</v>
      </c>
      <c r="G99" t="s">
        <v>1584</v>
      </c>
      <c r="H99">
        <v>275</v>
      </c>
      <c r="I99" t="str">
        <f>VLOOKUP(Table4[[#This Row],[ID]],List129[[ID]:[IATI]],7,FALSE)</f>
        <v>NA</v>
      </c>
      <c r="J99" t="s">
        <v>1270</v>
      </c>
      <c r="K99">
        <v>1</v>
      </c>
    </row>
    <row r="100" spans="1:11" hidden="1" x14ac:dyDescent="0.25">
      <c r="A100">
        <v>615</v>
      </c>
      <c r="B100" t="s">
        <v>1585</v>
      </c>
      <c r="C100" t="s">
        <v>240</v>
      </c>
      <c r="D100" t="s">
        <v>1586</v>
      </c>
      <c r="E100" t="s">
        <v>1586</v>
      </c>
      <c r="F100" t="s">
        <v>1585</v>
      </c>
      <c r="G100" t="s">
        <v>1587</v>
      </c>
      <c r="H100">
        <v>845</v>
      </c>
      <c r="I100" t="str">
        <f>VLOOKUP(Table4[[#This Row],[ID]],List129[[ID]:[IATI]],7,FALSE)</f>
        <v>NR</v>
      </c>
      <c r="J100" t="s">
        <v>1394</v>
      </c>
      <c r="K100">
        <v>1</v>
      </c>
    </row>
    <row r="101" spans="1:11" x14ac:dyDescent="0.25">
      <c r="A101">
        <v>213</v>
      </c>
      <c r="B101" t="s">
        <v>1588</v>
      </c>
      <c r="C101" t="s">
        <v>240</v>
      </c>
      <c r="D101" t="s">
        <v>1588</v>
      </c>
      <c r="E101" t="s">
        <v>1589</v>
      </c>
      <c r="F101" t="s">
        <v>1588</v>
      </c>
      <c r="G101" t="s">
        <v>1590</v>
      </c>
      <c r="H101">
        <v>660</v>
      </c>
      <c r="I101" t="str">
        <f>VLOOKUP(Table4[[#This Row],[ID]],List129[[ID]:[IATI]],7,FALSE)</f>
        <v>NP</v>
      </c>
      <c r="J101" t="s">
        <v>1253</v>
      </c>
      <c r="K101">
        <v>1</v>
      </c>
    </row>
    <row r="102" spans="1:11" hidden="1" x14ac:dyDescent="0.25">
      <c r="A102">
        <v>417</v>
      </c>
      <c r="B102" t="s">
        <v>1591</v>
      </c>
      <c r="C102" t="s">
        <v>240</v>
      </c>
      <c r="D102" t="s">
        <v>1591</v>
      </c>
      <c r="E102" t="s">
        <v>1591</v>
      </c>
      <c r="F102" t="s">
        <v>1591</v>
      </c>
      <c r="G102" t="s">
        <v>1592</v>
      </c>
      <c r="H102">
        <v>364</v>
      </c>
      <c r="I102" t="str">
        <f>VLOOKUP(Table4[[#This Row],[ID]],List129[[ID]:[IATI]],7,FALSE)</f>
        <v>NI</v>
      </c>
      <c r="J102" t="s">
        <v>1276</v>
      </c>
      <c r="K102">
        <v>1</v>
      </c>
    </row>
    <row r="103" spans="1:11" hidden="1" x14ac:dyDescent="0.25">
      <c r="A103">
        <v>321</v>
      </c>
      <c r="B103" t="s">
        <v>874</v>
      </c>
      <c r="C103" t="s">
        <v>1241</v>
      </c>
      <c r="D103" t="s">
        <v>1331</v>
      </c>
      <c r="E103" t="s">
        <v>1331</v>
      </c>
      <c r="F103" t="s">
        <v>874</v>
      </c>
      <c r="G103" t="s">
        <v>1593</v>
      </c>
      <c r="H103">
        <v>260</v>
      </c>
      <c r="I103" t="str">
        <f>VLOOKUP(Table4[[#This Row],[ID]],List129[[ID]:[IATI]],7,FALSE)</f>
        <v>NE</v>
      </c>
      <c r="J103" t="s">
        <v>1270</v>
      </c>
      <c r="K103">
        <v>1</v>
      </c>
    </row>
    <row r="104" spans="1:11" hidden="1" x14ac:dyDescent="0.25">
      <c r="A104">
        <v>322</v>
      </c>
      <c r="B104" t="s">
        <v>1594</v>
      </c>
      <c r="C104" t="s">
        <v>240</v>
      </c>
      <c r="D104" t="s">
        <v>1594</v>
      </c>
      <c r="E104" t="s">
        <v>1595</v>
      </c>
      <c r="F104" t="s">
        <v>1594</v>
      </c>
      <c r="G104" t="s">
        <v>1596</v>
      </c>
      <c r="H104">
        <v>261</v>
      </c>
      <c r="I104" t="str">
        <f>VLOOKUP(Table4[[#This Row],[ID]],List129[[ID]:[IATI]],7,FALSE)</f>
        <v>NG</v>
      </c>
      <c r="J104" t="s">
        <v>1270</v>
      </c>
      <c r="K104">
        <v>1</v>
      </c>
    </row>
    <row r="105" spans="1:11" hidden="1" x14ac:dyDescent="0.25">
      <c r="A105">
        <v>685</v>
      </c>
      <c r="B105" t="s">
        <v>1597</v>
      </c>
      <c r="C105" t="s">
        <v>240</v>
      </c>
      <c r="D105" t="s">
        <v>1597</v>
      </c>
      <c r="E105" t="s">
        <v>1597</v>
      </c>
      <c r="F105" t="s">
        <v>1597</v>
      </c>
      <c r="G105" t="s">
        <v>1598</v>
      </c>
      <c r="H105">
        <v>856</v>
      </c>
      <c r="I105" t="str">
        <f>VLOOKUP(Table4[[#This Row],[ID]],List129[[ID]:[IATI]],7,FALSE)</f>
        <v>NU</v>
      </c>
      <c r="J105" t="s">
        <v>1394</v>
      </c>
      <c r="K105">
        <v>1</v>
      </c>
    </row>
    <row r="106" spans="1:11" hidden="1" x14ac:dyDescent="0.25">
      <c r="A106">
        <v>146</v>
      </c>
      <c r="B106" t="s">
        <v>1599</v>
      </c>
      <c r="C106" t="s">
        <v>240</v>
      </c>
      <c r="D106" t="s">
        <v>1600</v>
      </c>
      <c r="E106" t="s">
        <v>1599</v>
      </c>
      <c r="F106" t="s">
        <v>1599</v>
      </c>
      <c r="G106" t="s">
        <v>1601</v>
      </c>
      <c r="H106">
        <v>85</v>
      </c>
      <c r="I106" t="str">
        <f>VLOOKUP(Table4[[#This Row],[ID]],List129[[ID]:[IATI]],7,FALSE)</f>
        <v>UA</v>
      </c>
      <c r="J106" t="s">
        <v>1259</v>
      </c>
      <c r="K106">
        <v>1</v>
      </c>
    </row>
    <row r="107" spans="1:11" x14ac:dyDescent="0.25">
      <c r="A107">
        <v>277</v>
      </c>
      <c r="B107" t="s">
        <v>1602</v>
      </c>
      <c r="C107" t="s">
        <v>240</v>
      </c>
      <c r="D107" t="s">
        <v>1603</v>
      </c>
      <c r="E107" t="s">
        <v>1604</v>
      </c>
      <c r="F107" t="s">
        <v>1602</v>
      </c>
      <c r="G107" t="s">
        <v>1605</v>
      </c>
      <c r="H107">
        <v>617</v>
      </c>
      <c r="I107" t="str">
        <f>VLOOKUP(Table4[[#This Row],[ID]],List129[[ID]:[IATI]],7,FALSE)</f>
        <v>UZ</v>
      </c>
      <c r="J107" t="s">
        <v>1253</v>
      </c>
      <c r="K107">
        <v>1</v>
      </c>
    </row>
    <row r="108" spans="1:11" x14ac:dyDescent="0.25">
      <c r="A108">
        <v>266</v>
      </c>
      <c r="B108" t="s">
        <v>1606</v>
      </c>
      <c r="C108" t="s">
        <v>240</v>
      </c>
      <c r="D108" t="s">
        <v>1607</v>
      </c>
      <c r="E108" t="s">
        <v>1607</v>
      </c>
      <c r="F108" t="s">
        <v>1606</v>
      </c>
      <c r="G108" t="s">
        <v>1608</v>
      </c>
      <c r="H108">
        <v>558</v>
      </c>
      <c r="I108" t="str">
        <f>VLOOKUP(Table4[[#This Row],[ID]],List129[[ID]:[IATI]],7,FALSE)</f>
        <v>OM</v>
      </c>
      <c r="J108" t="s">
        <v>1253</v>
      </c>
      <c r="K108">
        <v>1</v>
      </c>
    </row>
    <row r="109" spans="1:11" x14ac:dyDescent="0.25">
      <c r="A109">
        <v>259</v>
      </c>
      <c r="B109" t="s">
        <v>1609</v>
      </c>
      <c r="C109" t="s">
        <v>240</v>
      </c>
      <c r="D109" t="s">
        <v>1609</v>
      </c>
      <c r="E109" t="s">
        <v>1609</v>
      </c>
      <c r="F109" t="s">
        <v>1609</v>
      </c>
      <c r="G109" t="s">
        <v>1610</v>
      </c>
      <c r="H109">
        <v>665</v>
      </c>
      <c r="I109" t="str">
        <f>VLOOKUP(Table4[[#This Row],[ID]],List129[[ID]:[IATI]],7,FALSE)</f>
        <v>PK</v>
      </c>
      <c r="J109" t="s">
        <v>1253</v>
      </c>
      <c r="K109">
        <v>1</v>
      </c>
    </row>
    <row r="110" spans="1:11" hidden="1" x14ac:dyDescent="0.25">
      <c r="A110">
        <v>679</v>
      </c>
      <c r="B110" t="s">
        <v>1611</v>
      </c>
      <c r="C110" t="s">
        <v>240</v>
      </c>
      <c r="D110" t="s">
        <v>1611</v>
      </c>
      <c r="E110" t="s">
        <v>1611</v>
      </c>
      <c r="F110" t="s">
        <v>1611</v>
      </c>
      <c r="G110" t="s">
        <v>1612</v>
      </c>
      <c r="H110">
        <v>861</v>
      </c>
      <c r="I110" t="str">
        <f>VLOOKUP(Table4[[#This Row],[ID]],List129[[ID]:[IATI]],7,FALSE)</f>
        <v>PW</v>
      </c>
      <c r="J110" t="s">
        <v>1394</v>
      </c>
      <c r="K110">
        <v>1</v>
      </c>
    </row>
    <row r="111" spans="1:11" x14ac:dyDescent="0.25">
      <c r="A111">
        <v>278</v>
      </c>
      <c r="B111" t="s">
        <v>877</v>
      </c>
      <c r="C111" t="s">
        <v>1241</v>
      </c>
      <c r="D111" t="s">
        <v>1613</v>
      </c>
      <c r="E111" t="s">
        <v>1614</v>
      </c>
      <c r="F111" t="s">
        <v>877</v>
      </c>
      <c r="G111" t="s">
        <v>1615</v>
      </c>
      <c r="H111">
        <v>550</v>
      </c>
      <c r="I111" t="str">
        <f>VLOOKUP(Table4[[#This Row],[ID]],List129[[ID]:[IATI]],7,FALSE)</f>
        <v>PS</v>
      </c>
      <c r="J111" t="s">
        <v>1253</v>
      </c>
      <c r="K111">
        <v>1</v>
      </c>
    </row>
    <row r="112" spans="1:11" hidden="1" x14ac:dyDescent="0.25">
      <c r="A112">
        <v>418</v>
      </c>
      <c r="B112" t="s">
        <v>1616</v>
      </c>
      <c r="C112" t="s">
        <v>240</v>
      </c>
      <c r="D112" t="s">
        <v>1616</v>
      </c>
      <c r="E112" t="s">
        <v>1616</v>
      </c>
      <c r="F112" t="s">
        <v>1616</v>
      </c>
      <c r="G112" t="s">
        <v>1617</v>
      </c>
      <c r="H112">
        <v>366</v>
      </c>
      <c r="I112" t="str">
        <f>VLOOKUP(Table4[[#This Row],[ID]],List129[[ID]:[IATI]],7,FALSE)</f>
        <v>PA</v>
      </c>
      <c r="J112" t="s">
        <v>1276</v>
      </c>
      <c r="K112">
        <v>1</v>
      </c>
    </row>
    <row r="113" spans="1:11" hidden="1" x14ac:dyDescent="0.25">
      <c r="A113">
        <v>619</v>
      </c>
      <c r="B113" t="s">
        <v>1618</v>
      </c>
      <c r="C113" t="s">
        <v>240</v>
      </c>
      <c r="D113" t="s">
        <v>1619</v>
      </c>
      <c r="E113" t="s">
        <v>1620</v>
      </c>
      <c r="F113" t="s">
        <v>1618</v>
      </c>
      <c r="G113" t="s">
        <v>1621</v>
      </c>
      <c r="H113">
        <v>862</v>
      </c>
      <c r="I113" t="str">
        <f>VLOOKUP(Table4[[#This Row],[ID]],List129[[ID]:[IATI]],7,FALSE)</f>
        <v>PG</v>
      </c>
      <c r="J113" t="s">
        <v>1394</v>
      </c>
      <c r="K113">
        <v>1</v>
      </c>
    </row>
    <row r="114" spans="1:11" hidden="1" x14ac:dyDescent="0.25">
      <c r="A114">
        <v>517</v>
      </c>
      <c r="B114" t="s">
        <v>1622</v>
      </c>
      <c r="C114" t="s">
        <v>240</v>
      </c>
      <c r="D114" t="s">
        <v>1622</v>
      </c>
      <c r="E114" t="s">
        <v>1622</v>
      </c>
      <c r="F114" t="s">
        <v>1622</v>
      </c>
      <c r="G114" t="s">
        <v>1623</v>
      </c>
      <c r="H114">
        <v>451</v>
      </c>
      <c r="I114" t="str">
        <f>VLOOKUP(Table4[[#This Row],[ID]],List129[[ID]:[IATI]],7,FALSE)</f>
        <v>PY</v>
      </c>
      <c r="J114" t="s">
        <v>1276</v>
      </c>
      <c r="K114">
        <v>1</v>
      </c>
    </row>
    <row r="115" spans="1:11" hidden="1" x14ac:dyDescent="0.25">
      <c r="A115">
        <v>518</v>
      </c>
      <c r="B115" t="s">
        <v>1344</v>
      </c>
      <c r="C115" t="s">
        <v>1241</v>
      </c>
      <c r="D115" t="s">
        <v>1344</v>
      </c>
      <c r="E115" t="s">
        <v>1624</v>
      </c>
      <c r="F115" t="s">
        <v>1344</v>
      </c>
      <c r="G115" t="s">
        <v>1625</v>
      </c>
      <c r="H115">
        <v>454</v>
      </c>
      <c r="I115" t="str">
        <f>VLOOKUP(Table4[[#This Row],[ID]],List129[[ID]:[IATI]],7,FALSE)</f>
        <v>PE</v>
      </c>
      <c r="J115" t="s">
        <v>1276</v>
      </c>
      <c r="K115">
        <v>1</v>
      </c>
    </row>
    <row r="116" spans="1:11" hidden="1" x14ac:dyDescent="0.25">
      <c r="A116">
        <v>327</v>
      </c>
      <c r="B116" t="s">
        <v>1356</v>
      </c>
      <c r="C116" t="s">
        <v>1241</v>
      </c>
      <c r="D116" t="s">
        <v>1356</v>
      </c>
      <c r="E116" t="s">
        <v>1356</v>
      </c>
      <c r="F116" t="s">
        <v>1356</v>
      </c>
      <c r="G116" t="s">
        <v>1626</v>
      </c>
      <c r="H116">
        <v>266</v>
      </c>
      <c r="I116" t="str">
        <f>VLOOKUP(Table4[[#This Row],[ID]],List129[[ID]:[IATI]],7,FALSE)</f>
        <v>RW</v>
      </c>
      <c r="J116" t="s">
        <v>1270</v>
      </c>
      <c r="K116">
        <v>1</v>
      </c>
    </row>
    <row r="117" spans="1:11" hidden="1" x14ac:dyDescent="0.25">
      <c r="A117">
        <v>431</v>
      </c>
      <c r="B117" t="s">
        <v>1627</v>
      </c>
      <c r="C117" t="s">
        <v>240</v>
      </c>
      <c r="D117" t="s">
        <v>1628</v>
      </c>
      <c r="E117" t="s">
        <v>1629</v>
      </c>
      <c r="F117" t="s">
        <v>1627</v>
      </c>
      <c r="G117" t="s">
        <v>1630</v>
      </c>
      <c r="H117">
        <v>382</v>
      </c>
      <c r="I117" t="str">
        <f>VLOOKUP(Table4[[#This Row],[ID]],List129[[ID]:[IATI]],7,FALSE)</f>
        <v>KN</v>
      </c>
      <c r="J117" t="s">
        <v>1276</v>
      </c>
      <c r="K117">
        <v>1</v>
      </c>
    </row>
    <row r="118" spans="1:11" hidden="1" x14ac:dyDescent="0.25">
      <c r="A118">
        <v>429</v>
      </c>
      <c r="B118" t="s">
        <v>1631</v>
      </c>
      <c r="C118" t="s">
        <v>240</v>
      </c>
      <c r="D118" t="s">
        <v>1632</v>
      </c>
      <c r="E118" t="s">
        <v>1632</v>
      </c>
      <c r="F118" t="s">
        <v>1631</v>
      </c>
      <c r="G118" t="s">
        <v>1633</v>
      </c>
      <c r="H118">
        <v>384</v>
      </c>
      <c r="I118" t="str">
        <f>VLOOKUP(Table4[[#This Row],[ID]],List129[[ID]:[IATI]],7,FALSE)</f>
        <v>VC</v>
      </c>
      <c r="J118" t="s">
        <v>1276</v>
      </c>
      <c r="K118">
        <v>1</v>
      </c>
    </row>
    <row r="119" spans="1:11" hidden="1" x14ac:dyDescent="0.25">
      <c r="A119">
        <v>623</v>
      </c>
      <c r="B119" t="s">
        <v>1634</v>
      </c>
      <c r="C119" t="s">
        <v>240</v>
      </c>
      <c r="D119" t="s">
        <v>1635</v>
      </c>
      <c r="E119" t="s">
        <v>1636</v>
      </c>
      <c r="F119" t="s">
        <v>1634</v>
      </c>
      <c r="G119" t="s">
        <v>1637</v>
      </c>
      <c r="H119">
        <v>866</v>
      </c>
      <c r="I119" t="str">
        <f>VLOOKUP(Table4[[#This Row],[ID]],List129[[ID]:[IATI]],7,FALSE)</f>
        <v>SB</v>
      </c>
      <c r="J119" t="s">
        <v>1394</v>
      </c>
      <c r="K119">
        <v>1</v>
      </c>
    </row>
    <row r="120" spans="1:11" hidden="1" x14ac:dyDescent="0.25">
      <c r="A120">
        <v>346</v>
      </c>
      <c r="B120" t="s">
        <v>1638</v>
      </c>
      <c r="C120" t="s">
        <v>240</v>
      </c>
      <c r="D120" t="s">
        <v>1639</v>
      </c>
      <c r="E120" t="s">
        <v>1640</v>
      </c>
      <c r="F120" t="s">
        <v>1638</v>
      </c>
      <c r="G120" t="s">
        <v>1641</v>
      </c>
      <c r="H120">
        <v>268</v>
      </c>
      <c r="I120" t="str">
        <f>VLOOKUP(Table4[[#This Row],[ID]],List129[[ID]:[IATI]],7,FALSE)</f>
        <v>ST</v>
      </c>
      <c r="J120" t="s">
        <v>1270</v>
      </c>
      <c r="K120">
        <v>1</v>
      </c>
    </row>
    <row r="121" spans="1:11" hidden="1" x14ac:dyDescent="0.25">
      <c r="A121">
        <v>320</v>
      </c>
      <c r="B121" t="s">
        <v>1361</v>
      </c>
      <c r="C121" t="s">
        <v>1241</v>
      </c>
      <c r="D121" t="s">
        <v>1361</v>
      </c>
      <c r="E121" t="s">
        <v>1642</v>
      </c>
      <c r="F121" t="s">
        <v>1361</v>
      </c>
      <c r="G121" t="s">
        <v>1643</v>
      </c>
      <c r="H121">
        <v>269</v>
      </c>
      <c r="I121" t="str">
        <f>VLOOKUP(Table4[[#This Row],[ID]],List129[[ID]:[IATI]],7,FALSE)</f>
        <v>SN</v>
      </c>
      <c r="J121" t="s">
        <v>1270</v>
      </c>
      <c r="K121">
        <v>1</v>
      </c>
    </row>
    <row r="122" spans="1:11" hidden="1" x14ac:dyDescent="0.25">
      <c r="A122">
        <v>152</v>
      </c>
      <c r="B122" t="s">
        <v>1644</v>
      </c>
      <c r="C122" t="s">
        <v>240</v>
      </c>
      <c r="D122" t="s">
        <v>1645</v>
      </c>
      <c r="E122" t="s">
        <v>1646</v>
      </c>
      <c r="F122" t="s">
        <v>1644</v>
      </c>
      <c r="G122" t="s">
        <v>1647</v>
      </c>
      <c r="H122">
        <v>63</v>
      </c>
      <c r="I122" t="str">
        <f>VLOOKUP(Table4[[#This Row],[ID]],List129[[ID]:[IATI]],7,FALSE)</f>
        <v>RS</v>
      </c>
      <c r="J122" t="s">
        <v>1259</v>
      </c>
      <c r="K122">
        <v>1</v>
      </c>
    </row>
    <row r="123" spans="1:11" hidden="1" x14ac:dyDescent="0.25">
      <c r="A123">
        <v>342</v>
      </c>
      <c r="B123" t="s">
        <v>1648</v>
      </c>
      <c r="C123" t="s">
        <v>240</v>
      </c>
      <c r="D123" t="s">
        <v>1649</v>
      </c>
      <c r="E123" t="s">
        <v>1648</v>
      </c>
      <c r="F123" t="s">
        <v>1648</v>
      </c>
      <c r="G123" t="s">
        <v>1650</v>
      </c>
      <c r="H123">
        <v>270</v>
      </c>
      <c r="I123" t="str">
        <f>VLOOKUP(Table4[[#This Row],[ID]],List129[[ID]:[IATI]],7,FALSE)</f>
        <v>SC</v>
      </c>
      <c r="J123" t="s">
        <v>1270</v>
      </c>
      <c r="K123">
        <v>1</v>
      </c>
    </row>
    <row r="124" spans="1:11" hidden="1" x14ac:dyDescent="0.25">
      <c r="A124">
        <v>328</v>
      </c>
      <c r="B124" t="s">
        <v>1651</v>
      </c>
      <c r="C124" t="s">
        <v>240</v>
      </c>
      <c r="D124" t="s">
        <v>1651</v>
      </c>
      <c r="E124" t="s">
        <v>1652</v>
      </c>
      <c r="F124" t="s">
        <v>1651</v>
      </c>
      <c r="G124" t="s">
        <v>1653</v>
      </c>
      <c r="H124">
        <v>272</v>
      </c>
      <c r="I124" t="str">
        <f>VLOOKUP(Table4[[#This Row],[ID]],List129[[ID]:[IATI]],7,FALSE)</f>
        <v>SL</v>
      </c>
      <c r="J124" t="s">
        <v>1270</v>
      </c>
      <c r="K124">
        <v>1</v>
      </c>
    </row>
    <row r="125" spans="1:11" hidden="1" x14ac:dyDescent="0.25">
      <c r="A125">
        <v>329</v>
      </c>
      <c r="B125" t="s">
        <v>1654</v>
      </c>
      <c r="C125" t="s">
        <v>240</v>
      </c>
      <c r="D125" t="s">
        <v>1655</v>
      </c>
      <c r="E125" t="s">
        <v>1655</v>
      </c>
      <c r="F125" t="s">
        <v>1654</v>
      </c>
      <c r="G125" t="s">
        <v>1656</v>
      </c>
      <c r="H125">
        <v>273</v>
      </c>
      <c r="I125" t="str">
        <f>VLOOKUP(Table4[[#This Row],[ID]],List129[[ID]:[IATI]],7,FALSE)</f>
        <v>SO</v>
      </c>
      <c r="J125" t="s">
        <v>1270</v>
      </c>
      <c r="K125">
        <v>1</v>
      </c>
    </row>
    <row r="126" spans="1:11" x14ac:dyDescent="0.25">
      <c r="A126">
        <v>203</v>
      </c>
      <c r="B126" t="s">
        <v>1657</v>
      </c>
      <c r="C126" t="s">
        <v>240</v>
      </c>
      <c r="D126" t="s">
        <v>1657</v>
      </c>
      <c r="E126" t="s">
        <v>1657</v>
      </c>
      <c r="F126" t="s">
        <v>1657</v>
      </c>
      <c r="G126" t="s">
        <v>1658</v>
      </c>
      <c r="H126">
        <v>640</v>
      </c>
      <c r="I126" t="str">
        <f>VLOOKUP(Table4[[#This Row],[ID]],List129[[ID]:[IATI]],7,FALSE)</f>
        <v>LK</v>
      </c>
      <c r="J126" t="s">
        <v>1253</v>
      </c>
      <c r="K126">
        <v>1</v>
      </c>
    </row>
    <row r="127" spans="1:11" hidden="1" x14ac:dyDescent="0.25">
      <c r="A127">
        <v>389</v>
      </c>
      <c r="B127" t="s">
        <v>1659</v>
      </c>
      <c r="C127" t="s">
        <v>240</v>
      </c>
      <c r="D127" t="s">
        <v>1660</v>
      </c>
      <c r="E127" t="s">
        <v>1661</v>
      </c>
      <c r="F127" t="s">
        <v>1659</v>
      </c>
      <c r="G127" t="s">
        <v>1662</v>
      </c>
      <c r="H127">
        <v>276</v>
      </c>
      <c r="I127" t="str">
        <f>VLOOKUP(Table4[[#This Row],[ID]],List129[[ID]:[IATI]],7,FALSE)</f>
        <v>SH</v>
      </c>
      <c r="J127" t="s">
        <v>1270</v>
      </c>
      <c r="K127">
        <v>1</v>
      </c>
    </row>
    <row r="128" spans="1:11" hidden="1" x14ac:dyDescent="0.25">
      <c r="A128">
        <v>428</v>
      </c>
      <c r="B128" t="s">
        <v>1663</v>
      </c>
      <c r="C128" t="s">
        <v>240</v>
      </c>
      <c r="D128" t="s">
        <v>1664</v>
      </c>
      <c r="E128" t="s">
        <v>1665</v>
      </c>
      <c r="F128" t="s">
        <v>1666</v>
      </c>
      <c r="G128" t="s">
        <v>1667</v>
      </c>
      <c r="H128">
        <v>383</v>
      </c>
      <c r="I128" t="str">
        <f>VLOOKUP(Table4[[#This Row],[ID]],List129[[ID]:[IATI]],7,FALSE)</f>
        <v>LC</v>
      </c>
      <c r="J128" t="s">
        <v>1276</v>
      </c>
      <c r="K128">
        <v>1</v>
      </c>
    </row>
    <row r="129" spans="1:11" hidden="1" x14ac:dyDescent="0.25">
      <c r="A129">
        <v>356</v>
      </c>
      <c r="B129" t="s">
        <v>1668</v>
      </c>
      <c r="C129" t="s">
        <v>240</v>
      </c>
      <c r="D129" t="s">
        <v>1669</v>
      </c>
      <c r="E129" t="s">
        <v>1670</v>
      </c>
      <c r="F129" t="s">
        <v>1668</v>
      </c>
      <c r="G129" t="s">
        <v>1671</v>
      </c>
      <c r="H129">
        <v>278</v>
      </c>
      <c r="I129" t="str">
        <f>VLOOKUP(Table4[[#This Row],[ID]],List129[[ID]:[IATI]],7,FALSE)</f>
        <v>SD</v>
      </c>
      <c r="J129" t="s">
        <v>1270</v>
      </c>
      <c r="K129">
        <v>1</v>
      </c>
    </row>
    <row r="130" spans="1:11" hidden="1" x14ac:dyDescent="0.25">
      <c r="A130">
        <v>522</v>
      </c>
      <c r="B130" t="s">
        <v>1672</v>
      </c>
      <c r="C130" t="s">
        <v>240</v>
      </c>
      <c r="D130" t="s">
        <v>1673</v>
      </c>
      <c r="E130" t="s">
        <v>1672</v>
      </c>
      <c r="F130" t="s">
        <v>1672</v>
      </c>
      <c r="G130" t="s">
        <v>1674</v>
      </c>
      <c r="H130">
        <v>457</v>
      </c>
      <c r="I130" t="str">
        <f>VLOOKUP(Table4[[#This Row],[ID]],List129[[ID]:[IATI]],7,FALSE)</f>
        <v>SR</v>
      </c>
      <c r="J130" t="s">
        <v>1276</v>
      </c>
      <c r="K130">
        <v>1</v>
      </c>
    </row>
    <row r="131" spans="1:11" hidden="1" x14ac:dyDescent="0.25">
      <c r="A131">
        <v>331</v>
      </c>
      <c r="B131" t="s">
        <v>1675</v>
      </c>
      <c r="C131" t="s">
        <v>240</v>
      </c>
      <c r="D131" t="s">
        <v>1675</v>
      </c>
      <c r="E131" t="s">
        <v>1675</v>
      </c>
      <c r="F131" t="s">
        <v>1675</v>
      </c>
      <c r="G131" t="s">
        <v>1676</v>
      </c>
      <c r="H131">
        <v>280</v>
      </c>
      <c r="I131" t="str">
        <f>VLOOKUP(Table4[[#This Row],[ID]],List129[[ID]:[IATI]],7,FALSE)</f>
        <v>SZ</v>
      </c>
      <c r="J131" t="s">
        <v>1270</v>
      </c>
      <c r="K131">
        <v>1</v>
      </c>
    </row>
    <row r="132" spans="1:11" x14ac:dyDescent="0.25">
      <c r="A132">
        <v>261</v>
      </c>
      <c r="B132" t="s">
        <v>1677</v>
      </c>
      <c r="C132" t="s">
        <v>240</v>
      </c>
      <c r="D132" t="s">
        <v>1678</v>
      </c>
      <c r="E132" t="s">
        <v>1678</v>
      </c>
      <c r="F132" t="s">
        <v>1677</v>
      </c>
      <c r="G132" t="s">
        <v>1679</v>
      </c>
      <c r="H132">
        <v>573</v>
      </c>
      <c r="I132" t="str">
        <f>VLOOKUP(Table4[[#This Row],[ID]],List129[[ID]:[IATI]],7,FALSE)</f>
        <v>SY</v>
      </c>
      <c r="J132" t="s">
        <v>1253</v>
      </c>
      <c r="K132">
        <v>1</v>
      </c>
    </row>
    <row r="133" spans="1:11" x14ac:dyDescent="0.25">
      <c r="A133">
        <v>275</v>
      </c>
      <c r="B133" t="s">
        <v>1680</v>
      </c>
      <c r="C133" t="s">
        <v>240</v>
      </c>
      <c r="D133" t="s">
        <v>1681</v>
      </c>
      <c r="E133" t="s">
        <v>1682</v>
      </c>
      <c r="F133" t="s">
        <v>1680</v>
      </c>
      <c r="G133" t="s">
        <v>1683</v>
      </c>
      <c r="H133">
        <v>615</v>
      </c>
      <c r="I133" t="str">
        <f>VLOOKUP(Table4[[#This Row],[ID]],List129[[ID]:[IATI]],7,FALSE)</f>
        <v>TJ</v>
      </c>
      <c r="J133" t="s">
        <v>1253</v>
      </c>
      <c r="K133">
        <v>1</v>
      </c>
    </row>
    <row r="134" spans="1:11" hidden="1" x14ac:dyDescent="0.25">
      <c r="A134">
        <v>332</v>
      </c>
      <c r="B134" t="s">
        <v>1367</v>
      </c>
      <c r="C134" t="s">
        <v>1241</v>
      </c>
      <c r="D134" t="s">
        <v>1367</v>
      </c>
      <c r="E134" t="s">
        <v>1684</v>
      </c>
      <c r="F134" t="s">
        <v>1367</v>
      </c>
      <c r="G134" t="s">
        <v>1685</v>
      </c>
      <c r="H134">
        <v>282</v>
      </c>
      <c r="I134" t="str">
        <f>VLOOKUP(Table4[[#This Row],[ID]],List129[[ID]:[IATI]],7,FALSE)</f>
        <v>TZ</v>
      </c>
      <c r="J134" t="s">
        <v>1270</v>
      </c>
      <c r="K134">
        <v>1</v>
      </c>
    </row>
    <row r="135" spans="1:11" x14ac:dyDescent="0.25">
      <c r="A135">
        <v>235</v>
      </c>
      <c r="B135" t="s">
        <v>1686</v>
      </c>
      <c r="C135" t="s">
        <v>240</v>
      </c>
      <c r="D135" t="s">
        <v>1686</v>
      </c>
      <c r="E135" t="s">
        <v>1687</v>
      </c>
      <c r="F135" t="s">
        <v>1686</v>
      </c>
      <c r="G135" t="s">
        <v>1688</v>
      </c>
      <c r="H135">
        <v>764</v>
      </c>
      <c r="I135" t="str">
        <f>VLOOKUP(Table4[[#This Row],[ID]],List129[[ID]:[IATI]],7,FALSE)</f>
        <v>TH</v>
      </c>
      <c r="J135" t="s">
        <v>1253</v>
      </c>
      <c r="K135">
        <v>1</v>
      </c>
    </row>
    <row r="136" spans="1:11" x14ac:dyDescent="0.25">
      <c r="A136">
        <v>282</v>
      </c>
      <c r="B136" t="s">
        <v>1689</v>
      </c>
      <c r="C136" t="s">
        <v>240</v>
      </c>
      <c r="D136" t="s">
        <v>1690</v>
      </c>
      <c r="E136" t="s">
        <v>1690</v>
      </c>
      <c r="F136" t="s">
        <v>1689</v>
      </c>
      <c r="G136" t="s">
        <v>1691</v>
      </c>
      <c r="H136">
        <v>765</v>
      </c>
      <c r="I136" t="str">
        <f>VLOOKUP(Table4[[#This Row],[ID]],List129[[ID]:[IATI]],7,FALSE)</f>
        <v>TL</v>
      </c>
      <c r="J136" t="s">
        <v>1253</v>
      </c>
      <c r="K136">
        <v>1</v>
      </c>
    </row>
    <row r="137" spans="1:11" hidden="1" x14ac:dyDescent="0.25">
      <c r="A137">
        <v>334</v>
      </c>
      <c r="B137" t="s">
        <v>1692</v>
      </c>
      <c r="C137" t="s">
        <v>240</v>
      </c>
      <c r="D137" t="s">
        <v>1693</v>
      </c>
      <c r="E137" t="s">
        <v>1693</v>
      </c>
      <c r="F137" t="s">
        <v>1692</v>
      </c>
      <c r="G137" t="s">
        <v>1694</v>
      </c>
      <c r="H137">
        <v>283</v>
      </c>
      <c r="I137" t="str">
        <f>VLOOKUP(Table4[[#This Row],[ID]],List129[[ID]:[IATI]],7,FALSE)</f>
        <v>TG</v>
      </c>
      <c r="J137" t="s">
        <v>1270</v>
      </c>
      <c r="K137">
        <v>1</v>
      </c>
    </row>
    <row r="138" spans="1:11" hidden="1" x14ac:dyDescent="0.25">
      <c r="A138">
        <v>686</v>
      </c>
      <c r="B138" t="s">
        <v>1695</v>
      </c>
      <c r="C138" t="s">
        <v>240</v>
      </c>
      <c r="D138" t="s">
        <v>1696</v>
      </c>
      <c r="E138" t="s">
        <v>1697</v>
      </c>
      <c r="F138" t="s">
        <v>1695</v>
      </c>
      <c r="G138" t="s">
        <v>1698</v>
      </c>
      <c r="H138">
        <v>868</v>
      </c>
      <c r="I138" t="str">
        <f>VLOOKUP(Table4[[#This Row],[ID]],List129[[ID]:[IATI]],7,FALSE)</f>
        <v>TK</v>
      </c>
      <c r="J138" t="s">
        <v>1394</v>
      </c>
      <c r="K138">
        <v>1</v>
      </c>
    </row>
    <row r="139" spans="1:11" hidden="1" x14ac:dyDescent="0.25">
      <c r="A139">
        <v>616</v>
      </c>
      <c r="B139" t="s">
        <v>1699</v>
      </c>
      <c r="C139" t="s">
        <v>240</v>
      </c>
      <c r="D139" t="s">
        <v>1700</v>
      </c>
      <c r="E139" t="s">
        <v>1700</v>
      </c>
      <c r="F139" t="s">
        <v>1699</v>
      </c>
      <c r="G139" t="s">
        <v>1701</v>
      </c>
      <c r="H139">
        <v>870</v>
      </c>
      <c r="I139" t="str">
        <f>VLOOKUP(Table4[[#This Row],[ID]],List129[[ID]:[IATI]],7,FALSE)</f>
        <v>TO</v>
      </c>
      <c r="J139" t="s">
        <v>1394</v>
      </c>
      <c r="K139">
        <v>1</v>
      </c>
    </row>
    <row r="140" spans="1:11" hidden="1" x14ac:dyDescent="0.25">
      <c r="A140">
        <v>422</v>
      </c>
      <c r="B140" t="s">
        <v>1702</v>
      </c>
      <c r="C140" t="s">
        <v>240</v>
      </c>
      <c r="D140" t="s">
        <v>1703</v>
      </c>
      <c r="E140" t="s">
        <v>1704</v>
      </c>
      <c r="F140" t="s">
        <v>1702</v>
      </c>
      <c r="G140" t="s">
        <v>1705</v>
      </c>
      <c r="H140">
        <v>375</v>
      </c>
      <c r="I140" t="str">
        <f>VLOOKUP(Table4[[#This Row],[ID]],List129[[ID]:[IATI]],7,FALSE)</f>
        <v>TT</v>
      </c>
      <c r="J140" t="s">
        <v>1276</v>
      </c>
      <c r="K140">
        <v>1</v>
      </c>
    </row>
    <row r="141" spans="1:11" hidden="1" x14ac:dyDescent="0.25">
      <c r="A141">
        <v>333</v>
      </c>
      <c r="B141" t="s">
        <v>1706</v>
      </c>
      <c r="C141" t="s">
        <v>240</v>
      </c>
      <c r="D141" t="s">
        <v>1707</v>
      </c>
      <c r="E141" t="s">
        <v>1708</v>
      </c>
      <c r="F141" t="s">
        <v>1706</v>
      </c>
      <c r="G141" t="s">
        <v>1709</v>
      </c>
      <c r="H141">
        <v>232</v>
      </c>
      <c r="I141" t="str">
        <f>VLOOKUP(Table4[[#This Row],[ID]],List129[[ID]:[IATI]],7,FALSE)</f>
        <v>TD</v>
      </c>
      <c r="J141" t="s">
        <v>1270</v>
      </c>
      <c r="K141">
        <v>1</v>
      </c>
    </row>
    <row r="142" spans="1:11" hidden="1" x14ac:dyDescent="0.25">
      <c r="A142">
        <v>357</v>
      </c>
      <c r="B142" t="s">
        <v>1710</v>
      </c>
      <c r="C142" t="s">
        <v>240</v>
      </c>
      <c r="D142" t="s">
        <v>1711</v>
      </c>
      <c r="E142" t="s">
        <v>1712</v>
      </c>
      <c r="F142" t="s">
        <v>1710</v>
      </c>
      <c r="G142" t="s">
        <v>1713</v>
      </c>
      <c r="H142">
        <v>139</v>
      </c>
      <c r="I142" t="str">
        <f>VLOOKUP(Table4[[#This Row],[ID]],List129[[ID]:[IATI]],7,FALSE)</f>
        <v>TN</v>
      </c>
      <c r="J142" t="s">
        <v>1265</v>
      </c>
      <c r="K142">
        <v>1</v>
      </c>
    </row>
    <row r="143" spans="1:11" hidden="1" x14ac:dyDescent="0.25">
      <c r="A143">
        <v>134</v>
      </c>
      <c r="B143" t="s">
        <v>1714</v>
      </c>
      <c r="C143" t="s">
        <v>240</v>
      </c>
      <c r="D143" t="s">
        <v>1715</v>
      </c>
      <c r="E143" t="s">
        <v>1716</v>
      </c>
      <c r="F143" t="s">
        <v>1714</v>
      </c>
      <c r="G143" t="s">
        <v>1717</v>
      </c>
      <c r="H143">
        <v>55</v>
      </c>
      <c r="I143" t="str">
        <f>VLOOKUP(Table4[[#This Row],[ID]],List129[[ID]:[IATI]],7,FALSE)</f>
        <v>TR</v>
      </c>
      <c r="J143" t="s">
        <v>1259</v>
      </c>
      <c r="K143">
        <v>1</v>
      </c>
    </row>
    <row r="144" spans="1:11" x14ac:dyDescent="0.25">
      <c r="A144">
        <v>276</v>
      </c>
      <c r="B144" t="s">
        <v>1718</v>
      </c>
      <c r="C144" t="s">
        <v>240</v>
      </c>
      <c r="D144" t="s">
        <v>1718</v>
      </c>
      <c r="E144" t="s">
        <v>1718</v>
      </c>
      <c r="F144" t="s">
        <v>1718</v>
      </c>
      <c r="G144" t="s">
        <v>1719</v>
      </c>
      <c r="H144">
        <v>616</v>
      </c>
      <c r="I144" t="str">
        <f>VLOOKUP(Table4[[#This Row],[ID]],List129[[ID]:[IATI]],7,FALSE)</f>
        <v>TM</v>
      </c>
      <c r="J144" t="s">
        <v>1253</v>
      </c>
      <c r="K144">
        <v>1</v>
      </c>
    </row>
    <row r="145" spans="1:13" hidden="1" x14ac:dyDescent="0.25">
      <c r="A145">
        <v>488</v>
      </c>
      <c r="B145" t="s">
        <v>1720</v>
      </c>
      <c r="C145" t="s">
        <v>240</v>
      </c>
      <c r="D145" t="s">
        <v>1721</v>
      </c>
      <c r="E145" t="s">
        <v>1722</v>
      </c>
      <c r="F145" t="s">
        <v>1720</v>
      </c>
      <c r="G145" t="s">
        <v>1723</v>
      </c>
      <c r="H145">
        <v>387</v>
      </c>
      <c r="I145" t="str">
        <f>VLOOKUP(Table4[[#This Row],[ID]],List129[[ID]:[IATI]],7,FALSE)</f>
        <v>TC</v>
      </c>
      <c r="J145" t="s">
        <v>1276</v>
      </c>
      <c r="K145">
        <v>1</v>
      </c>
    </row>
    <row r="146" spans="1:13" hidden="1" x14ac:dyDescent="0.25">
      <c r="A146">
        <v>621</v>
      </c>
      <c r="B146" t="s">
        <v>1724</v>
      </c>
      <c r="C146" t="s">
        <v>240</v>
      </c>
      <c r="D146" t="s">
        <v>1724</v>
      </c>
      <c r="E146" t="s">
        <v>1724</v>
      </c>
      <c r="F146" t="s">
        <v>1724</v>
      </c>
      <c r="G146" t="s">
        <v>1725</v>
      </c>
      <c r="H146">
        <v>872</v>
      </c>
      <c r="I146" t="str">
        <f>VLOOKUP(Table4[[#This Row],[ID]],List129[[ID]:[IATI]],7,FALSE)</f>
        <v>TV</v>
      </c>
      <c r="J146" t="s">
        <v>1394</v>
      </c>
      <c r="K146">
        <v>1</v>
      </c>
    </row>
    <row r="147" spans="1:13" hidden="1" x14ac:dyDescent="0.25">
      <c r="A147">
        <v>323</v>
      </c>
      <c r="B147" t="s">
        <v>1335</v>
      </c>
      <c r="C147" t="s">
        <v>1241</v>
      </c>
      <c r="D147" t="s">
        <v>1726</v>
      </c>
      <c r="E147" t="s">
        <v>1727</v>
      </c>
      <c r="F147" t="s">
        <v>1335</v>
      </c>
      <c r="G147" t="s">
        <v>1728</v>
      </c>
      <c r="H147">
        <v>285</v>
      </c>
      <c r="I147" t="str">
        <f>VLOOKUP(Table4[[#This Row],[ID]],List129[[ID]:[IATI]],7,FALSE)</f>
        <v>UG</v>
      </c>
      <c r="J147" t="s">
        <v>1270</v>
      </c>
      <c r="K147">
        <v>1</v>
      </c>
    </row>
    <row r="148" spans="1:13" hidden="1" x14ac:dyDescent="0.25">
      <c r="A148">
        <v>519</v>
      </c>
      <c r="B148" t="s">
        <v>1729</v>
      </c>
      <c r="C148" t="s">
        <v>240</v>
      </c>
      <c r="D148" t="s">
        <v>1729</v>
      </c>
      <c r="E148" t="s">
        <v>1729</v>
      </c>
      <c r="F148" t="s">
        <v>1729</v>
      </c>
      <c r="G148" t="s">
        <v>1730</v>
      </c>
      <c r="H148">
        <v>460</v>
      </c>
      <c r="I148" t="str">
        <f>VLOOKUP(Table4[[#This Row],[ID]],List129[[ID]:[IATI]],7,FALSE)</f>
        <v>UY</v>
      </c>
      <c r="J148" t="s">
        <v>1276</v>
      </c>
      <c r="K148">
        <v>1</v>
      </c>
    </row>
    <row r="149" spans="1:13" hidden="1" x14ac:dyDescent="0.25">
      <c r="A149">
        <v>618</v>
      </c>
      <c r="B149" t="s">
        <v>1731</v>
      </c>
      <c r="C149" t="s">
        <v>240</v>
      </c>
      <c r="D149" t="s">
        <v>1731</v>
      </c>
      <c r="E149" t="s">
        <v>1731</v>
      </c>
      <c r="F149" t="s">
        <v>1731</v>
      </c>
      <c r="G149" t="s">
        <v>1732</v>
      </c>
      <c r="H149">
        <v>854</v>
      </c>
      <c r="I149" t="str">
        <f>VLOOKUP(Table4[[#This Row],[ID]],List129[[ID]:[IATI]],7,FALSE)</f>
        <v>VU</v>
      </c>
      <c r="J149" t="s">
        <v>1394</v>
      </c>
      <c r="K149">
        <v>1</v>
      </c>
    </row>
    <row r="150" spans="1:13" hidden="1" x14ac:dyDescent="0.25">
      <c r="A150">
        <v>520</v>
      </c>
      <c r="B150" t="s">
        <v>1733</v>
      </c>
      <c r="C150" t="s">
        <v>240</v>
      </c>
      <c r="D150" t="s">
        <v>1733</v>
      </c>
      <c r="E150" t="s">
        <v>1733</v>
      </c>
      <c r="F150" t="s">
        <v>1733</v>
      </c>
      <c r="G150" t="s">
        <v>1734</v>
      </c>
      <c r="H150">
        <v>463</v>
      </c>
      <c r="I150" t="str">
        <f>VLOOKUP(Table4[[#This Row],[ID]],List129[[ID]:[IATI]],7,FALSE)</f>
        <v>VE</v>
      </c>
      <c r="J150" t="s">
        <v>1276</v>
      </c>
      <c r="K150">
        <v>1</v>
      </c>
    </row>
    <row r="151" spans="1:13" x14ac:dyDescent="0.25">
      <c r="A151">
        <v>220</v>
      </c>
      <c r="B151" t="s">
        <v>903</v>
      </c>
      <c r="C151" t="s">
        <v>1241</v>
      </c>
      <c r="D151" t="s">
        <v>903</v>
      </c>
      <c r="E151" t="s">
        <v>903</v>
      </c>
      <c r="F151" t="s">
        <v>903</v>
      </c>
      <c r="G151" t="s">
        <v>1735</v>
      </c>
      <c r="H151">
        <v>769</v>
      </c>
      <c r="I151" t="str">
        <f>VLOOKUP(Table4[[#This Row],[ID]],List129[[ID]:[IATI]],7,FALSE)</f>
        <v>VN</v>
      </c>
      <c r="J151" t="s">
        <v>1253</v>
      </c>
      <c r="K151">
        <v>1</v>
      </c>
    </row>
    <row r="152" spans="1:13" hidden="1" x14ac:dyDescent="0.25">
      <c r="A152">
        <v>689</v>
      </c>
      <c r="B152" t="s">
        <v>1736</v>
      </c>
      <c r="C152" t="s">
        <v>240</v>
      </c>
      <c r="D152" t="s">
        <v>1737</v>
      </c>
      <c r="E152" t="s">
        <v>1738</v>
      </c>
      <c r="F152" t="s">
        <v>1736</v>
      </c>
      <c r="G152" t="s">
        <v>1739</v>
      </c>
      <c r="H152">
        <v>876</v>
      </c>
      <c r="I152" t="str">
        <f>VLOOKUP(Table4[[#This Row],[ID]],List129[[ID]:[IATI]],7,FALSE)</f>
        <v>WF</v>
      </c>
      <c r="J152" t="s">
        <v>1394</v>
      </c>
      <c r="K152">
        <v>1</v>
      </c>
    </row>
    <row r="153" spans="1:13" hidden="1" x14ac:dyDescent="0.25">
      <c r="A153">
        <v>614</v>
      </c>
      <c r="B153" t="s">
        <v>1740</v>
      </c>
      <c r="C153" t="s">
        <v>240</v>
      </c>
      <c r="D153" t="s">
        <v>1741</v>
      </c>
      <c r="E153" t="s">
        <v>1742</v>
      </c>
      <c r="F153" t="s">
        <v>1743</v>
      </c>
      <c r="G153" t="s">
        <v>1744</v>
      </c>
      <c r="H153">
        <v>880</v>
      </c>
      <c r="I153" t="str">
        <f>VLOOKUP(Table4[[#This Row],[ID]],List129[[ID]:[IATI]],7,FALSE)</f>
        <v>WS</v>
      </c>
      <c r="J153" t="s">
        <v>1394</v>
      </c>
      <c r="K153">
        <v>1</v>
      </c>
    </row>
    <row r="154" spans="1:13" hidden="1" x14ac:dyDescent="0.25">
      <c r="A154">
        <v>335</v>
      </c>
      <c r="B154" t="s">
        <v>1745</v>
      </c>
      <c r="C154" t="s">
        <v>240</v>
      </c>
      <c r="D154" t="s">
        <v>1745</v>
      </c>
      <c r="E154" t="s">
        <v>1746</v>
      </c>
      <c r="F154" t="s">
        <v>1745</v>
      </c>
      <c r="G154" t="s">
        <v>1747</v>
      </c>
      <c r="H154">
        <v>288</v>
      </c>
      <c r="I154" t="str">
        <f>VLOOKUP(Table4[[#This Row],[ID]],List129[[ID]:[IATI]],7,FALSE)</f>
        <v>ZM</v>
      </c>
      <c r="J154" t="s">
        <v>1270</v>
      </c>
      <c r="K154">
        <v>1</v>
      </c>
    </row>
    <row r="155" spans="1:13" hidden="1" x14ac:dyDescent="0.25">
      <c r="A155">
        <v>344</v>
      </c>
      <c r="B155" t="s">
        <v>1748</v>
      </c>
      <c r="C155" t="s">
        <v>240</v>
      </c>
      <c r="D155" t="s">
        <v>1748</v>
      </c>
      <c r="E155" t="s">
        <v>1749</v>
      </c>
      <c r="F155" t="s">
        <v>1748</v>
      </c>
      <c r="G155" t="s">
        <v>1750</v>
      </c>
      <c r="H155">
        <v>265</v>
      </c>
      <c r="I155" t="str">
        <f>VLOOKUP(Table4[[#This Row],[ID]],List129[[ID]:[IATI]],7,FALSE)</f>
        <v>ZW</v>
      </c>
      <c r="J155" t="s">
        <v>1270</v>
      </c>
      <c r="K155">
        <v>1</v>
      </c>
    </row>
    <row r="156" spans="1:13" hidden="1" x14ac:dyDescent="0.25">
      <c r="A156">
        <v>325</v>
      </c>
      <c r="B156" t="s">
        <v>1751</v>
      </c>
      <c r="C156" t="s">
        <v>240</v>
      </c>
      <c r="D156" t="s">
        <v>1752</v>
      </c>
      <c r="E156" t="s">
        <v>1753</v>
      </c>
      <c r="F156" t="s">
        <v>1751</v>
      </c>
      <c r="G156" t="s">
        <v>1754</v>
      </c>
      <c r="H156">
        <v>218</v>
      </c>
      <c r="I156" t="str">
        <f>VLOOKUP(Table4[[#This Row],[ID]],List129[[ID]:[IATI]],7,FALSE)</f>
        <v>ZA</v>
      </c>
      <c r="J156" t="s">
        <v>1270</v>
      </c>
      <c r="K156">
        <v>1</v>
      </c>
    </row>
    <row r="157" spans="1:13" hidden="1" x14ac:dyDescent="0.25">
      <c r="B157" t="s">
        <v>1755</v>
      </c>
      <c r="C157" t="s">
        <v>240</v>
      </c>
      <c r="D157" t="s">
        <v>1756</v>
      </c>
      <c r="E157" t="s">
        <v>1757</v>
      </c>
      <c r="F157" t="s">
        <v>1755</v>
      </c>
      <c r="H157">
        <v>279</v>
      </c>
      <c r="I157" t="s">
        <v>1758</v>
      </c>
      <c r="J157" t="s">
        <v>1270</v>
      </c>
      <c r="K157">
        <v>1</v>
      </c>
    </row>
    <row r="158" spans="1:13" hidden="1" x14ac:dyDescent="0.25">
      <c r="A158" s="67">
        <v>939</v>
      </c>
      <c r="B158" s="68" t="s">
        <v>1759</v>
      </c>
      <c r="C158" s="68" t="s">
        <v>240</v>
      </c>
      <c r="D158" s="68" t="s">
        <v>1760</v>
      </c>
      <c r="E158" s="68" t="s">
        <v>1761</v>
      </c>
      <c r="F158" s="68" t="s">
        <v>1762</v>
      </c>
      <c r="G158" s="68" t="s">
        <v>1763</v>
      </c>
      <c r="H158" s="68">
        <v>298</v>
      </c>
      <c r="I158" s="68" t="s">
        <v>1764</v>
      </c>
      <c r="J158" s="69" t="s">
        <v>1765</v>
      </c>
      <c r="K158">
        <v>2</v>
      </c>
      <c r="M158" t="str">
        <f>"Regional - "&amp;B158</f>
        <v>Regional - R - AFRICA  CONTINENT</v>
      </c>
    </row>
    <row r="159" spans="1:13" hidden="1" x14ac:dyDescent="0.25">
      <c r="A159" s="67">
        <v>931</v>
      </c>
      <c r="B159" s="68" t="s">
        <v>1766</v>
      </c>
      <c r="C159" s="68" t="s">
        <v>240</v>
      </c>
      <c r="D159" s="68" t="s">
        <v>1767</v>
      </c>
      <c r="E159" s="68" t="s">
        <v>1768</v>
      </c>
      <c r="F159" s="68" t="s">
        <v>1769</v>
      </c>
      <c r="G159" s="68" t="s">
        <v>1763</v>
      </c>
      <c r="H159" s="68">
        <v>189</v>
      </c>
      <c r="I159" s="68" t="s">
        <v>1770</v>
      </c>
      <c r="J159" s="69" t="s">
        <v>1265</v>
      </c>
      <c r="K159">
        <v>2</v>
      </c>
      <c r="M159" t="str">
        <f t="shared" ref="M159:M175" si="0">"Regional - "&amp;B159</f>
        <v>Regional - R - AFRICA - NORTH OF SAHARA AREA</v>
      </c>
    </row>
    <row r="160" spans="1:13" hidden="1" x14ac:dyDescent="0.25">
      <c r="A160" s="70">
        <v>938</v>
      </c>
      <c r="B160" s="71" t="s">
        <v>1771</v>
      </c>
      <c r="C160" s="71" t="s">
        <v>240</v>
      </c>
      <c r="D160" s="71" t="s">
        <v>1772</v>
      </c>
      <c r="E160" s="71" t="s">
        <v>1773</v>
      </c>
      <c r="F160" s="71" t="s">
        <v>1774</v>
      </c>
      <c r="G160" s="71" t="s">
        <v>1763</v>
      </c>
      <c r="H160" s="71">
        <v>289</v>
      </c>
      <c r="I160" s="71" t="s">
        <v>1775</v>
      </c>
      <c r="J160" s="72" t="s">
        <v>1270</v>
      </c>
      <c r="K160">
        <v>2</v>
      </c>
      <c r="M160" t="str">
        <f t="shared" si="0"/>
        <v>Regional - R - AFRICA - SOUTH OF SAHARA AREA</v>
      </c>
    </row>
    <row r="161" spans="1:13" hidden="1" x14ac:dyDescent="0.25">
      <c r="A161" s="67">
        <v>935</v>
      </c>
      <c r="B161" s="68" t="s">
        <v>1776</v>
      </c>
      <c r="C161" s="68" t="s">
        <v>240</v>
      </c>
      <c r="D161" s="68" t="s">
        <v>1777</v>
      </c>
      <c r="E161" s="68" t="s">
        <v>1778</v>
      </c>
      <c r="F161" s="68" t="s">
        <v>1779</v>
      </c>
      <c r="G161" s="68" t="s">
        <v>1763</v>
      </c>
      <c r="H161" s="68">
        <v>289</v>
      </c>
      <c r="I161" s="68" t="s">
        <v>1780</v>
      </c>
      <c r="J161" s="69" t="s">
        <v>1270</v>
      </c>
      <c r="K161">
        <v>2</v>
      </c>
      <c r="M161" t="str">
        <f t="shared" si="0"/>
        <v>Regional - R - AFRICA - CENTRAL AREA</v>
      </c>
    </row>
    <row r="162" spans="1:13" hidden="1" x14ac:dyDescent="0.25">
      <c r="A162" s="70">
        <v>936</v>
      </c>
      <c r="B162" s="71" t="s">
        <v>1781</v>
      </c>
      <c r="C162" s="71" t="s">
        <v>240</v>
      </c>
      <c r="D162" s="71" t="s">
        <v>1782</v>
      </c>
      <c r="E162" s="71" t="s">
        <v>1783</v>
      </c>
      <c r="F162" s="71" t="s">
        <v>1784</v>
      </c>
      <c r="G162" s="71" t="s">
        <v>1763</v>
      </c>
      <c r="H162" s="71">
        <v>289</v>
      </c>
      <c r="I162" s="71" t="s">
        <v>1785</v>
      </c>
      <c r="J162" s="72" t="s">
        <v>1270</v>
      </c>
      <c r="K162">
        <v>2</v>
      </c>
      <c r="M162" t="str">
        <f t="shared" si="0"/>
        <v>Regional - R - AFRICA - EAST AREA</v>
      </c>
    </row>
    <row r="163" spans="1:13" hidden="1" x14ac:dyDescent="0.25">
      <c r="A163" s="67">
        <v>934</v>
      </c>
      <c r="B163" s="68" t="s">
        <v>1786</v>
      </c>
      <c r="C163" s="68" t="s">
        <v>240</v>
      </c>
      <c r="D163" s="68" t="s">
        <v>1787</v>
      </c>
      <c r="E163" s="68" t="s">
        <v>1788</v>
      </c>
      <c r="F163" s="68" t="s">
        <v>1789</v>
      </c>
      <c r="G163" s="68" t="s">
        <v>1763</v>
      </c>
      <c r="H163" s="68">
        <v>289</v>
      </c>
      <c r="I163" s="68" t="s">
        <v>1790</v>
      </c>
      <c r="J163" s="69" t="s">
        <v>1270</v>
      </c>
      <c r="K163">
        <v>2</v>
      </c>
      <c r="M163" t="str">
        <f t="shared" si="0"/>
        <v>Regional - R - AFRICA - WEST AREA</v>
      </c>
    </row>
    <row r="164" spans="1:13" hidden="1" x14ac:dyDescent="0.25">
      <c r="A164" s="67">
        <v>937</v>
      </c>
      <c r="B164" s="68" t="s">
        <v>1791</v>
      </c>
      <c r="C164" s="68" t="s">
        <v>240</v>
      </c>
      <c r="D164" s="68" t="s">
        <v>1792</v>
      </c>
      <c r="E164" s="68" t="s">
        <v>1793</v>
      </c>
      <c r="F164" s="68" t="s">
        <v>1794</v>
      </c>
      <c r="G164" s="68" t="s">
        <v>1763</v>
      </c>
      <c r="H164" s="68">
        <v>289</v>
      </c>
      <c r="I164" s="68" t="s">
        <v>1795</v>
      </c>
      <c r="J164" s="69" t="s">
        <v>1270</v>
      </c>
      <c r="K164">
        <v>2</v>
      </c>
      <c r="M164" t="str">
        <f t="shared" si="0"/>
        <v>Regional - R - AFRICA - SOUTH AREA</v>
      </c>
    </row>
    <row r="165" spans="1:13" hidden="1" x14ac:dyDescent="0.25">
      <c r="A165" s="70">
        <v>959</v>
      </c>
      <c r="B165" s="71" t="s">
        <v>1796</v>
      </c>
      <c r="C165" s="71" t="s">
        <v>240</v>
      </c>
      <c r="D165" s="71" t="s">
        <v>1797</v>
      </c>
      <c r="E165" s="71" t="s">
        <v>1798</v>
      </c>
      <c r="F165" s="71" t="s">
        <v>1799</v>
      </c>
      <c r="G165" s="71" t="s">
        <v>1800</v>
      </c>
      <c r="H165" s="71">
        <v>498</v>
      </c>
      <c r="I165" s="71" t="s">
        <v>1490</v>
      </c>
      <c r="J165" s="72" t="s">
        <v>1276</v>
      </c>
      <c r="K165">
        <v>2</v>
      </c>
      <c r="M165" t="str">
        <f t="shared" si="0"/>
        <v>Regional - R - AMERICA  CONTINENT</v>
      </c>
    </row>
    <row r="166" spans="1:13" hidden="1" x14ac:dyDescent="0.25">
      <c r="A166" s="67">
        <v>948</v>
      </c>
      <c r="B166" s="68" t="s">
        <v>1801</v>
      </c>
      <c r="C166" s="68" t="s">
        <v>240</v>
      </c>
      <c r="D166" s="68" t="s">
        <v>1802</v>
      </c>
      <c r="E166" s="68" t="s">
        <v>1803</v>
      </c>
      <c r="F166" s="68" t="s">
        <v>1804</v>
      </c>
      <c r="G166" s="68" t="s">
        <v>1800</v>
      </c>
      <c r="H166" s="68">
        <v>389</v>
      </c>
      <c r="I166" s="68" t="s">
        <v>1805</v>
      </c>
      <c r="J166" s="69" t="s">
        <v>1276</v>
      </c>
      <c r="K166">
        <v>2</v>
      </c>
      <c r="M166" t="str">
        <f t="shared" si="0"/>
        <v>Regional - R - AMERICA - NORTH &amp; CENTRAL AREA</v>
      </c>
    </row>
    <row r="167" spans="1:13" hidden="1" x14ac:dyDescent="0.25">
      <c r="A167" s="70">
        <v>958</v>
      </c>
      <c r="B167" s="71" t="s">
        <v>1806</v>
      </c>
      <c r="C167" s="71" t="s">
        <v>240</v>
      </c>
      <c r="D167" s="71" t="s">
        <v>1807</v>
      </c>
      <c r="E167" s="71" t="s">
        <v>1808</v>
      </c>
      <c r="F167" s="71" t="s">
        <v>1809</v>
      </c>
      <c r="G167" s="71" t="s">
        <v>1800</v>
      </c>
      <c r="H167" s="71">
        <v>489</v>
      </c>
      <c r="I167" s="71" t="s">
        <v>1810</v>
      </c>
      <c r="J167" s="72" t="s">
        <v>1276</v>
      </c>
      <c r="K167">
        <v>2</v>
      </c>
      <c r="M167" t="str">
        <f t="shared" si="0"/>
        <v>Regional - R - AMERICA - SOUTH AREA</v>
      </c>
    </row>
    <row r="168" spans="1:13" x14ac:dyDescent="0.25">
      <c r="A168" s="70">
        <v>925</v>
      </c>
      <c r="B168" s="71" t="s">
        <v>1811</v>
      </c>
      <c r="C168" s="71" t="s">
        <v>240</v>
      </c>
      <c r="D168" s="71" t="s">
        <v>1812</v>
      </c>
      <c r="E168" s="71" t="s">
        <v>1813</v>
      </c>
      <c r="F168" s="71" t="s">
        <v>1814</v>
      </c>
      <c r="G168" s="71" t="s">
        <v>1815</v>
      </c>
      <c r="H168" s="71">
        <v>619</v>
      </c>
      <c r="I168" s="71" t="s">
        <v>1816</v>
      </c>
      <c r="J168" s="72" t="s">
        <v>1253</v>
      </c>
      <c r="K168">
        <v>2</v>
      </c>
      <c r="M168" t="str">
        <f t="shared" si="0"/>
        <v>Regional - R - ASIA - CENTRAL AREA</v>
      </c>
    </row>
    <row r="169" spans="1:13" x14ac:dyDescent="0.25">
      <c r="A169" s="67">
        <v>929</v>
      </c>
      <c r="B169" s="68" t="s">
        <v>1817</v>
      </c>
      <c r="C169" s="68" t="s">
        <v>240</v>
      </c>
      <c r="D169" s="68" t="s">
        <v>1818</v>
      </c>
      <c r="E169" s="68" t="s">
        <v>1819</v>
      </c>
      <c r="F169" s="68" t="s">
        <v>1820</v>
      </c>
      <c r="G169" s="68" t="s">
        <v>1815</v>
      </c>
      <c r="H169" s="68">
        <v>798</v>
      </c>
      <c r="I169" s="68" t="s">
        <v>1821</v>
      </c>
      <c r="J169" s="69" t="s">
        <v>1253</v>
      </c>
      <c r="K169">
        <v>2</v>
      </c>
      <c r="M169" t="str">
        <f t="shared" si="0"/>
        <v>Regional - R - ASIA  CONTINENT</v>
      </c>
    </row>
    <row r="170" spans="1:13" x14ac:dyDescent="0.25">
      <c r="A170" s="70">
        <v>928</v>
      </c>
      <c r="B170" s="71" t="s">
        <v>883</v>
      </c>
      <c r="C170" s="71" t="s">
        <v>240</v>
      </c>
      <c r="D170" s="71" t="s">
        <v>1822</v>
      </c>
      <c r="E170" s="71" t="s">
        <v>1823</v>
      </c>
      <c r="F170" s="71" t="s">
        <v>1824</v>
      </c>
      <c r="G170" s="71" t="s">
        <v>1815</v>
      </c>
      <c r="H170" s="71">
        <v>789</v>
      </c>
      <c r="I170" s="71" t="s">
        <v>1825</v>
      </c>
      <c r="J170" s="72" t="s">
        <v>1253</v>
      </c>
      <c r="K170">
        <v>2</v>
      </c>
      <c r="M170" t="str">
        <f t="shared" si="0"/>
        <v>Regional - R - ASIA - FAR EAST AREA</v>
      </c>
    </row>
    <row r="171" spans="1:13" x14ac:dyDescent="0.25">
      <c r="A171" s="70">
        <v>927</v>
      </c>
      <c r="B171" s="71" t="s">
        <v>1826</v>
      </c>
      <c r="C171" s="71" t="s">
        <v>240</v>
      </c>
      <c r="D171" s="71" t="s">
        <v>1827</v>
      </c>
      <c r="E171" s="71" t="s">
        <v>1828</v>
      </c>
      <c r="F171" s="71" t="s">
        <v>1829</v>
      </c>
      <c r="G171" s="71" t="s">
        <v>1815</v>
      </c>
      <c r="H171" s="71">
        <v>689</v>
      </c>
      <c r="I171" s="71" t="s">
        <v>1830</v>
      </c>
      <c r="J171" s="72" t="s">
        <v>1253</v>
      </c>
      <c r="K171">
        <v>2</v>
      </c>
      <c r="M171" t="str">
        <f t="shared" si="0"/>
        <v>Regional - R - ASIA - SOUTH &amp; CENTRAL AREA</v>
      </c>
    </row>
    <row r="172" spans="1:13" x14ac:dyDescent="0.25">
      <c r="A172" s="67">
        <v>924</v>
      </c>
      <c r="B172" s="68" t="s">
        <v>1831</v>
      </c>
      <c r="C172" s="68" t="s">
        <v>240</v>
      </c>
      <c r="D172" s="68" t="s">
        <v>1832</v>
      </c>
      <c r="E172" s="68" t="s">
        <v>1833</v>
      </c>
      <c r="F172" s="68" t="s">
        <v>1834</v>
      </c>
      <c r="G172" s="68" t="s">
        <v>1815</v>
      </c>
      <c r="H172" s="68">
        <v>679</v>
      </c>
      <c r="I172" s="68" t="s">
        <v>1830</v>
      </c>
      <c r="J172" s="69" t="s">
        <v>1253</v>
      </c>
      <c r="K172">
        <v>2</v>
      </c>
      <c r="M172" t="str">
        <f t="shared" si="0"/>
        <v>Regional - R - ASIA - SOUTH AREA</v>
      </c>
    </row>
    <row r="173" spans="1:13" x14ac:dyDescent="0.25">
      <c r="A173" s="70">
        <v>926</v>
      </c>
      <c r="B173" s="71" t="s">
        <v>1835</v>
      </c>
      <c r="C173" s="71" t="s">
        <v>240</v>
      </c>
      <c r="D173" s="71" t="s">
        <v>1836</v>
      </c>
      <c r="E173" s="71" t="s">
        <v>1837</v>
      </c>
      <c r="F173" s="71" t="s">
        <v>1838</v>
      </c>
      <c r="G173" s="71" t="s">
        <v>1815</v>
      </c>
      <c r="H173" s="71">
        <v>589</v>
      </c>
      <c r="I173" s="71" t="s">
        <v>1839</v>
      </c>
      <c r="J173" s="72" t="s">
        <v>1253</v>
      </c>
      <c r="K173">
        <v>2</v>
      </c>
      <c r="M173" t="str">
        <f t="shared" si="0"/>
        <v>Regional - R - MIDDLE EAST AREA</v>
      </c>
    </row>
    <row r="174" spans="1:13" hidden="1" x14ac:dyDescent="0.25">
      <c r="A174" s="67">
        <v>910</v>
      </c>
      <c r="B174" s="68" t="s">
        <v>1840</v>
      </c>
      <c r="C174" s="68" t="s">
        <v>240</v>
      </c>
      <c r="D174" s="68" t="s">
        <v>1841</v>
      </c>
      <c r="E174" s="68" t="s">
        <v>1842</v>
      </c>
      <c r="F174" s="68" t="s">
        <v>1843</v>
      </c>
      <c r="G174" s="68" t="s">
        <v>1844</v>
      </c>
      <c r="H174" s="68">
        <v>89</v>
      </c>
      <c r="I174" s="68" t="s">
        <v>1845</v>
      </c>
      <c r="J174" s="69" t="s">
        <v>1259</v>
      </c>
      <c r="K174">
        <v>2</v>
      </c>
      <c r="M174" t="str">
        <f t="shared" si="0"/>
        <v>Regional - R - EUROPE (ODA) AREA</v>
      </c>
    </row>
    <row r="175" spans="1:13" hidden="1" x14ac:dyDescent="0.25">
      <c r="A175" s="216">
        <v>969</v>
      </c>
      <c r="B175" s="31" t="s">
        <v>1846</v>
      </c>
      <c r="C175" s="31" t="s">
        <v>240</v>
      </c>
      <c r="D175" s="31" t="s">
        <v>1847</v>
      </c>
      <c r="E175" s="31" t="s">
        <v>1848</v>
      </c>
      <c r="F175" s="31" t="s">
        <v>1849</v>
      </c>
      <c r="G175" s="31" t="s">
        <v>1850</v>
      </c>
      <c r="H175" s="31">
        <v>889</v>
      </c>
      <c r="I175" s="31" t="s">
        <v>1851</v>
      </c>
      <c r="J175" s="217" t="s">
        <v>1394</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140625" defaultRowHeight="12.75" x14ac:dyDescent="0.2"/>
  <cols>
    <col min="1" max="1" width="6.7109375" style="59" customWidth="1"/>
    <col min="2" max="2" width="12.7109375" style="59" customWidth="1"/>
    <col min="3" max="3" width="19" style="59" customWidth="1"/>
    <col min="4" max="4" width="24.42578125" style="59" customWidth="1"/>
    <col min="5" max="5" width="18.85546875" style="59" customWidth="1"/>
    <col min="6" max="10" width="11.42578125" style="59" customWidth="1"/>
    <col min="11" max="11" width="7" style="59" customWidth="1"/>
    <col min="12" max="12" width="11.28515625" style="59" customWidth="1"/>
    <col min="13" max="16" width="13.28515625" style="59" customWidth="1"/>
    <col min="17" max="17" width="26.28515625" style="59" customWidth="1"/>
    <col min="18" max="18" width="11.28515625" style="59" customWidth="1"/>
    <col min="19" max="19" width="14.85546875" style="59" customWidth="1"/>
    <col min="20" max="20" width="5.42578125" style="59" customWidth="1"/>
    <col min="21" max="21" width="9.85546875" style="59" customWidth="1"/>
    <col min="22" max="22" width="9" style="59" customWidth="1"/>
    <col min="23" max="26" width="6.42578125" style="59" customWidth="1"/>
    <col min="27" max="27" width="6.5703125" style="59" customWidth="1"/>
    <col min="28" max="29" width="7.7109375" style="59" customWidth="1"/>
    <col min="30" max="30" width="11.28515625" style="59" customWidth="1"/>
    <col min="31" max="31" width="7.85546875" style="59" customWidth="1"/>
    <col min="32" max="32" width="13.85546875" style="59" customWidth="1"/>
    <col min="33" max="33" width="18.140625" style="59" customWidth="1"/>
    <col min="34" max="34" width="10.140625" style="59" customWidth="1"/>
    <col min="35" max="35" width="6.5703125" style="59" customWidth="1"/>
    <col min="36" max="36" width="10.140625" style="59" customWidth="1"/>
    <col min="37" max="37" width="13.5703125" style="59" customWidth="1"/>
    <col min="38" max="38" width="14.85546875" style="59" customWidth="1"/>
    <col min="39" max="16384" width="9.140625" style="59"/>
  </cols>
  <sheetData>
    <row r="1" spans="1:64" x14ac:dyDescent="0.2">
      <c r="A1" s="56" t="s">
        <v>914</v>
      </c>
      <c r="B1" s="56" t="s">
        <v>1238</v>
      </c>
      <c r="C1" s="56" t="s">
        <v>1234</v>
      </c>
      <c r="D1" s="56" t="s">
        <v>1235</v>
      </c>
      <c r="E1" s="56" t="s">
        <v>1236</v>
      </c>
      <c r="F1" s="56" t="s">
        <v>1237</v>
      </c>
      <c r="G1" s="56" t="s">
        <v>1852</v>
      </c>
      <c r="H1" s="56" t="s">
        <v>1853</v>
      </c>
      <c r="I1" s="56" t="s">
        <v>1854</v>
      </c>
      <c r="J1" s="56" t="s">
        <v>1855</v>
      </c>
      <c r="K1" s="56" t="s">
        <v>1239</v>
      </c>
      <c r="L1" s="56" t="s">
        <v>1240</v>
      </c>
      <c r="M1" s="56" t="s">
        <v>1856</v>
      </c>
      <c r="N1" s="56" t="s">
        <v>1857</v>
      </c>
      <c r="O1" s="56" t="s">
        <v>1858</v>
      </c>
      <c r="P1" s="56" t="s">
        <v>752</v>
      </c>
      <c r="Q1" s="56" t="s">
        <v>1859</v>
      </c>
      <c r="R1" s="56" t="s">
        <v>1860</v>
      </c>
      <c r="S1" s="56" t="s">
        <v>1861</v>
      </c>
      <c r="T1" s="56" t="s">
        <v>1862</v>
      </c>
      <c r="U1" s="56" t="s">
        <v>1863</v>
      </c>
      <c r="V1" s="56" t="s">
        <v>1864</v>
      </c>
      <c r="W1" s="57" t="s">
        <v>1865</v>
      </c>
      <c r="X1" s="57" t="s">
        <v>1866</v>
      </c>
      <c r="Y1" s="57" t="s">
        <v>1867</v>
      </c>
      <c r="Z1" s="58" t="s">
        <v>1868</v>
      </c>
      <c r="AA1" s="56" t="s">
        <v>1869</v>
      </c>
      <c r="AB1" s="56" t="s">
        <v>1870</v>
      </c>
      <c r="AC1" s="56" t="s">
        <v>1871</v>
      </c>
      <c r="AD1" s="56" t="s">
        <v>1872</v>
      </c>
      <c r="AE1" s="56" t="s">
        <v>1873</v>
      </c>
      <c r="AF1" s="56" t="s">
        <v>1874</v>
      </c>
      <c r="AG1" s="56" t="s">
        <v>1875</v>
      </c>
      <c r="AH1" s="56" t="s">
        <v>1876</v>
      </c>
      <c r="AI1" s="56" t="s">
        <v>1877</v>
      </c>
      <c r="AJ1" s="56" t="s">
        <v>1878</v>
      </c>
      <c r="AK1" s="56" t="s">
        <v>1879</v>
      </c>
      <c r="AL1" s="56" t="s">
        <v>1880</v>
      </c>
      <c r="AM1" s="56" t="s">
        <v>1881</v>
      </c>
      <c r="AN1" s="56" t="s">
        <v>1882</v>
      </c>
      <c r="AO1" s="56"/>
      <c r="AP1" s="56"/>
      <c r="AQ1" s="56"/>
      <c r="AR1" s="56"/>
      <c r="AS1" s="56"/>
      <c r="AT1" s="56"/>
      <c r="AU1" s="56"/>
      <c r="AV1" s="56"/>
      <c r="AW1" s="56"/>
      <c r="AX1" s="56"/>
      <c r="AY1" s="56"/>
      <c r="AZ1" s="56"/>
      <c r="BA1" s="56"/>
      <c r="BB1" s="56"/>
      <c r="BC1" s="56"/>
      <c r="BD1" s="56"/>
      <c r="BE1" s="56"/>
      <c r="BF1" s="56"/>
      <c r="BG1" s="56"/>
      <c r="BH1" s="56"/>
      <c r="BI1" s="56"/>
      <c r="BJ1" s="56"/>
      <c r="BK1" s="56"/>
      <c r="BL1" s="56"/>
    </row>
    <row r="2" spans="1:64" x14ac:dyDescent="0.2">
      <c r="A2" s="59">
        <v>901</v>
      </c>
      <c r="B2" s="59">
        <v>998</v>
      </c>
      <c r="C2" s="59" t="s">
        <v>1246</v>
      </c>
      <c r="D2" s="59" t="s">
        <v>1247</v>
      </c>
      <c r="E2" s="59" t="s">
        <v>1248</v>
      </c>
      <c r="F2" s="59" t="s">
        <v>1249</v>
      </c>
      <c r="G2" s="59" t="s">
        <v>1242</v>
      </c>
      <c r="I2" s="59">
        <v>998</v>
      </c>
      <c r="J2" s="59">
        <v>998</v>
      </c>
      <c r="K2" s="59" t="s">
        <v>1883</v>
      </c>
      <c r="M2" s="59" t="s">
        <v>1243</v>
      </c>
      <c r="O2" s="59" t="s">
        <v>1884</v>
      </c>
      <c r="P2" s="59" t="b">
        <f>List129[[#This Row],[Income2018]]=List129[[#This Row],[Income]]</f>
        <v>0</v>
      </c>
      <c r="Q2" s="59" t="s">
        <v>1885</v>
      </c>
      <c r="R2" s="59" t="s">
        <v>240</v>
      </c>
      <c r="T2" s="59" t="s">
        <v>240</v>
      </c>
      <c r="U2" s="59" t="s">
        <v>240</v>
      </c>
      <c r="V2" s="59" t="s">
        <v>240</v>
      </c>
      <c r="W2" s="60" t="s">
        <v>240</v>
      </c>
      <c r="X2" s="60" t="s">
        <v>240</v>
      </c>
      <c r="Y2" s="60" t="s">
        <v>240</v>
      </c>
      <c r="Z2" s="61" t="str">
        <f>IF(OR(List129[[#This Row],[Fragile 2018]]=1,List129[[#This Row],[Income]]="LDC"),1,"")</f>
        <v/>
      </c>
      <c r="AA2" s="59" t="s">
        <v>240</v>
      </c>
      <c r="AB2" s="59" t="s">
        <v>1886</v>
      </c>
      <c r="AC2" s="59" t="s">
        <v>240</v>
      </c>
      <c r="AD2" s="59" t="s">
        <v>240</v>
      </c>
      <c r="AE2" s="59" t="s">
        <v>240</v>
      </c>
      <c r="AF2" s="59" t="s">
        <v>240</v>
      </c>
      <c r="AG2" s="59" t="s">
        <v>240</v>
      </c>
      <c r="AH2" s="59" t="s">
        <v>240</v>
      </c>
      <c r="AI2" s="59" t="s">
        <v>240</v>
      </c>
      <c r="AJ2" s="59" t="s">
        <v>240</v>
      </c>
      <c r="AK2" s="59" t="s">
        <v>240</v>
      </c>
      <c r="AL2" s="59" t="s">
        <v>240</v>
      </c>
      <c r="AM2" s="59">
        <v>297</v>
      </c>
      <c r="AN2" s="59" t="s">
        <v>1246</v>
      </c>
    </row>
    <row r="3" spans="1:64" x14ac:dyDescent="0.2">
      <c r="A3" s="59">
        <v>251</v>
      </c>
      <c r="B3" s="59">
        <v>625</v>
      </c>
      <c r="C3" s="59" t="s">
        <v>1251</v>
      </c>
      <c r="D3" s="59" t="s">
        <v>1251</v>
      </c>
      <c r="E3" s="59" t="s">
        <v>1251</v>
      </c>
      <c r="F3" s="59" t="s">
        <v>1252</v>
      </c>
      <c r="G3" s="59" t="s">
        <v>1887</v>
      </c>
      <c r="H3" s="59" t="s">
        <v>1251</v>
      </c>
      <c r="I3" s="59">
        <v>798</v>
      </c>
      <c r="J3" s="59">
        <v>625</v>
      </c>
      <c r="K3" s="59" t="s">
        <v>1252</v>
      </c>
      <c r="L3" s="59" t="s">
        <v>1253</v>
      </c>
      <c r="M3" s="59" t="s">
        <v>1888</v>
      </c>
      <c r="N3" s="59" t="s">
        <v>1888</v>
      </c>
      <c r="O3" s="59" t="s">
        <v>1888</v>
      </c>
      <c r="P3" s="59" t="b">
        <f>List129[[#This Row],[Income2018]]=List129[[#This Row],[Income]]</f>
        <v>1</v>
      </c>
      <c r="Q3" s="59" t="s">
        <v>1889</v>
      </c>
      <c r="R3" s="59" t="s">
        <v>240</v>
      </c>
      <c r="T3" s="59" t="s">
        <v>1886</v>
      </c>
      <c r="U3" s="59" t="s">
        <v>240</v>
      </c>
      <c r="V3" s="59" t="s">
        <v>1886</v>
      </c>
      <c r="W3" s="60" t="s">
        <v>1886</v>
      </c>
      <c r="X3" s="60" t="s">
        <v>1886</v>
      </c>
      <c r="Y3" s="60">
        <v>1</v>
      </c>
      <c r="Z3" s="61">
        <f>IF(OR(List129[[#This Row],[Fragile 2018]]=1,List129[[#This Row],[Income]]="LDC"),1,"")</f>
        <v>1</v>
      </c>
      <c r="AA3" s="59" t="s">
        <v>240</v>
      </c>
      <c r="AB3" s="59" t="s">
        <v>1886</v>
      </c>
      <c r="AC3" s="59" t="s">
        <v>1886</v>
      </c>
      <c r="AD3" s="59" t="s">
        <v>240</v>
      </c>
      <c r="AE3" s="59" t="s">
        <v>240</v>
      </c>
      <c r="AF3" s="59" t="s">
        <v>240</v>
      </c>
      <c r="AG3" s="59" t="s">
        <v>240</v>
      </c>
      <c r="AH3" s="59" t="s">
        <v>240</v>
      </c>
      <c r="AI3" s="59" t="s">
        <v>240</v>
      </c>
      <c r="AJ3" s="59" t="s">
        <v>1886</v>
      </c>
      <c r="AK3" s="59" t="s">
        <v>240</v>
      </c>
      <c r="AL3" s="59" t="s">
        <v>240</v>
      </c>
      <c r="AM3" s="59">
        <v>240</v>
      </c>
      <c r="AN3" s="59" t="s">
        <v>1251</v>
      </c>
    </row>
    <row r="4" spans="1:64" x14ac:dyDescent="0.2">
      <c r="A4" s="59">
        <v>101</v>
      </c>
      <c r="B4" s="59">
        <v>71</v>
      </c>
      <c r="C4" s="59" t="s">
        <v>1257</v>
      </c>
      <c r="D4" s="59" t="s">
        <v>1257</v>
      </c>
      <c r="E4" s="59" t="s">
        <v>1256</v>
      </c>
      <c r="F4" s="59" t="s">
        <v>1258</v>
      </c>
      <c r="G4" s="59" t="s">
        <v>1890</v>
      </c>
      <c r="I4" s="59">
        <v>89</v>
      </c>
      <c r="J4" s="59">
        <v>71</v>
      </c>
      <c r="K4" s="59" t="s">
        <v>1258</v>
      </c>
      <c r="L4" s="59" t="s">
        <v>1259</v>
      </c>
      <c r="M4" s="59" t="s">
        <v>1891</v>
      </c>
      <c r="N4" s="59" t="s">
        <v>1892</v>
      </c>
      <c r="O4" s="59" t="s">
        <v>1892</v>
      </c>
      <c r="P4" s="59" t="b">
        <f>List129[[#This Row],[Income2018]]=List129[[#This Row],[Income]]</f>
        <v>0</v>
      </c>
      <c r="Q4" s="59" t="s">
        <v>1893</v>
      </c>
      <c r="R4" s="59" t="s">
        <v>240</v>
      </c>
      <c r="T4" s="59" t="s">
        <v>240</v>
      </c>
      <c r="U4" s="59" t="s">
        <v>240</v>
      </c>
      <c r="V4" s="59" t="s">
        <v>240</v>
      </c>
      <c r="W4" s="60" t="s">
        <v>240</v>
      </c>
      <c r="X4" s="60" t="s">
        <v>240</v>
      </c>
      <c r="Y4" s="60" t="s">
        <v>240</v>
      </c>
      <c r="Z4" s="61" t="str">
        <f>IF(OR(List129[[#This Row],[Fragile 2018]]=1,List129[[#This Row],[Income]]="LDC"),1,"")</f>
        <v/>
      </c>
      <c r="AA4" s="59" t="s">
        <v>240</v>
      </c>
      <c r="AB4" s="59" t="s">
        <v>1886</v>
      </c>
      <c r="AC4" s="59" t="s">
        <v>240</v>
      </c>
      <c r="AD4" s="59" t="s">
        <v>240</v>
      </c>
      <c r="AE4" s="59" t="s">
        <v>240</v>
      </c>
      <c r="AF4" s="59" t="s">
        <v>240</v>
      </c>
      <c r="AG4" s="59" t="s">
        <v>240</v>
      </c>
      <c r="AH4" s="59" t="s">
        <v>240</v>
      </c>
      <c r="AI4" s="59" t="s">
        <v>240</v>
      </c>
      <c r="AJ4" s="59" t="s">
        <v>240</v>
      </c>
      <c r="AK4" s="59" t="s">
        <v>240</v>
      </c>
      <c r="AL4" s="59" t="s">
        <v>1886</v>
      </c>
      <c r="AM4" s="59">
        <v>101</v>
      </c>
      <c r="AN4" s="59" t="s">
        <v>1257</v>
      </c>
    </row>
    <row r="5" spans="1:64" x14ac:dyDescent="0.2">
      <c r="A5" s="59">
        <v>303</v>
      </c>
      <c r="B5" s="59">
        <v>228</v>
      </c>
      <c r="C5" s="59" t="s">
        <v>1267</v>
      </c>
      <c r="D5" s="59" t="s">
        <v>1267</v>
      </c>
      <c r="E5" s="59" t="s">
        <v>1267</v>
      </c>
      <c r="F5" s="59" t="s">
        <v>1354</v>
      </c>
      <c r="G5" s="59" t="s">
        <v>1894</v>
      </c>
      <c r="H5" s="59" t="s">
        <v>1267</v>
      </c>
      <c r="I5" s="59">
        <v>289</v>
      </c>
      <c r="J5" s="59">
        <v>228</v>
      </c>
      <c r="K5" s="59" t="s">
        <v>1354</v>
      </c>
      <c r="L5" s="59" t="s">
        <v>1270</v>
      </c>
      <c r="M5" s="59" t="s">
        <v>1888</v>
      </c>
      <c r="N5" s="59" t="s">
        <v>1888</v>
      </c>
      <c r="O5" s="59" t="s">
        <v>1888</v>
      </c>
      <c r="P5" s="59" t="b">
        <f>List129[[#This Row],[Income2018]]=List129[[#This Row],[Income]]</f>
        <v>1</v>
      </c>
      <c r="Q5" s="59" t="s">
        <v>1895</v>
      </c>
      <c r="R5" s="59" t="s">
        <v>1886</v>
      </c>
      <c r="S5" s="59" t="s">
        <v>1354</v>
      </c>
      <c r="T5" s="59" t="s">
        <v>1886</v>
      </c>
      <c r="U5" s="59" t="s">
        <v>240</v>
      </c>
      <c r="V5" s="59" t="s">
        <v>1886</v>
      </c>
      <c r="W5" s="60" t="s">
        <v>1886</v>
      </c>
      <c r="X5" s="60" t="s">
        <v>1886</v>
      </c>
      <c r="Y5" s="60">
        <v>1</v>
      </c>
      <c r="Z5" s="61">
        <f>IF(OR(List129[[#This Row],[Fragile 2018]]=1,List129[[#This Row],[Income]]="LDC"),1,"")</f>
        <v>1</v>
      </c>
      <c r="AA5" s="59" t="s">
        <v>1886</v>
      </c>
      <c r="AB5" s="59" t="s">
        <v>1886</v>
      </c>
      <c r="AC5" s="59" t="s">
        <v>1886</v>
      </c>
      <c r="AD5" s="59" t="s">
        <v>240</v>
      </c>
      <c r="AE5" s="59" t="s">
        <v>240</v>
      </c>
      <c r="AF5" s="59" t="s">
        <v>1886</v>
      </c>
      <c r="AG5" s="59" t="s">
        <v>240</v>
      </c>
      <c r="AH5" s="59" t="s">
        <v>1886</v>
      </c>
      <c r="AI5" s="59" t="s">
        <v>240</v>
      </c>
      <c r="AJ5" s="59" t="s">
        <v>240</v>
      </c>
      <c r="AK5" s="59" t="s">
        <v>240</v>
      </c>
      <c r="AL5" s="59" t="s">
        <v>240</v>
      </c>
      <c r="AM5" s="59">
        <v>129</v>
      </c>
      <c r="AN5" s="59" t="s">
        <v>1267</v>
      </c>
    </row>
    <row r="6" spans="1:64" x14ac:dyDescent="0.2">
      <c r="A6" s="59">
        <v>341</v>
      </c>
      <c r="B6" s="59">
        <v>225</v>
      </c>
      <c r="C6" s="59" t="s">
        <v>1268</v>
      </c>
      <c r="D6" s="59" t="s">
        <v>1268</v>
      </c>
      <c r="E6" s="59" t="s">
        <v>1268</v>
      </c>
      <c r="F6" s="59" t="s">
        <v>1269</v>
      </c>
      <c r="G6" s="59" t="s">
        <v>1896</v>
      </c>
      <c r="H6" s="59" t="s">
        <v>1268</v>
      </c>
      <c r="I6" s="59">
        <v>289</v>
      </c>
      <c r="J6" s="59">
        <v>225</v>
      </c>
      <c r="K6" s="59" t="s">
        <v>1897</v>
      </c>
      <c r="L6" s="59" t="s">
        <v>1270</v>
      </c>
      <c r="M6" s="59" t="s">
        <v>1888</v>
      </c>
      <c r="N6" s="59" t="s">
        <v>1888</v>
      </c>
      <c r="O6" s="59" t="s">
        <v>1888</v>
      </c>
      <c r="P6" s="59" t="b">
        <f>List129[[#This Row],[Income2018]]=List129[[#This Row],[Income]]</f>
        <v>1</v>
      </c>
      <c r="Q6" s="59" t="s">
        <v>1898</v>
      </c>
      <c r="R6" s="59" t="s">
        <v>240</v>
      </c>
      <c r="T6" s="59" t="s">
        <v>1886</v>
      </c>
      <c r="U6" s="59" t="s">
        <v>240</v>
      </c>
      <c r="V6" s="59" t="s">
        <v>240</v>
      </c>
      <c r="W6" s="60" t="s">
        <v>1886</v>
      </c>
      <c r="X6" s="60" t="s">
        <v>240</v>
      </c>
      <c r="Y6" s="60">
        <v>1</v>
      </c>
      <c r="Z6" s="61">
        <f>IF(OR(List129[[#This Row],[Fragile 2018]]=1,List129[[#This Row],[Income]]="LDC"),1,"")</f>
        <v>1</v>
      </c>
      <c r="AA6" s="59" t="s">
        <v>1886</v>
      </c>
      <c r="AB6" s="59" t="s">
        <v>1886</v>
      </c>
      <c r="AC6" s="59" t="s">
        <v>240</v>
      </c>
      <c r="AD6" s="59" t="s">
        <v>240</v>
      </c>
      <c r="AE6" s="59" t="s">
        <v>240</v>
      </c>
      <c r="AF6" s="59" t="s">
        <v>1886</v>
      </c>
      <c r="AG6" s="59" t="s">
        <v>240</v>
      </c>
      <c r="AH6" s="59" t="s">
        <v>1886</v>
      </c>
      <c r="AI6" s="59" t="s">
        <v>240</v>
      </c>
      <c r="AJ6" s="59" t="s">
        <v>240</v>
      </c>
      <c r="AK6" s="59" t="s">
        <v>240</v>
      </c>
      <c r="AL6" s="59" t="s">
        <v>240</v>
      </c>
      <c r="AM6" s="59">
        <v>125</v>
      </c>
      <c r="AN6" s="59" t="s">
        <v>1268</v>
      </c>
    </row>
    <row r="7" spans="1:64" x14ac:dyDescent="0.2">
      <c r="A7" s="59">
        <v>490</v>
      </c>
      <c r="B7" s="59">
        <v>376</v>
      </c>
      <c r="C7" s="59" t="s">
        <v>1273</v>
      </c>
      <c r="D7" s="59" t="s">
        <v>1274</v>
      </c>
      <c r="F7" s="59" t="s">
        <v>1275</v>
      </c>
      <c r="G7" s="59" t="s">
        <v>1899</v>
      </c>
      <c r="I7" s="59">
        <v>498</v>
      </c>
      <c r="J7" s="59">
        <v>376</v>
      </c>
      <c r="K7" s="59" t="s">
        <v>1900</v>
      </c>
      <c r="L7" s="59" t="s">
        <v>1276</v>
      </c>
      <c r="M7" s="59" t="s">
        <v>1892</v>
      </c>
      <c r="O7" s="59" t="s">
        <v>1901</v>
      </c>
      <c r="P7" s="59" t="b">
        <f>List129[[#This Row],[Income2018]]=List129[[#This Row],[Income]]</f>
        <v>0</v>
      </c>
      <c r="Q7" s="59" t="s">
        <v>1902</v>
      </c>
      <c r="R7" s="59" t="s">
        <v>240</v>
      </c>
      <c r="T7" s="59" t="s">
        <v>240</v>
      </c>
      <c r="U7" s="59" t="s">
        <v>1886</v>
      </c>
      <c r="V7" s="59" t="s">
        <v>240</v>
      </c>
      <c r="W7" s="60" t="s">
        <v>240</v>
      </c>
      <c r="X7" s="60" t="s">
        <v>240</v>
      </c>
      <c r="Y7" s="60" t="s">
        <v>240</v>
      </c>
      <c r="Z7" s="61" t="str">
        <f>IF(OR(List129[[#This Row],[Fragile 2018]]=1,List129[[#This Row],[Income]]="LDC"),1,"")</f>
        <v/>
      </c>
      <c r="AA7" s="59" t="s">
        <v>240</v>
      </c>
      <c r="AB7" s="59" t="s">
        <v>1886</v>
      </c>
      <c r="AC7" s="59" t="s">
        <v>240</v>
      </c>
      <c r="AD7" s="59" t="s">
        <v>240</v>
      </c>
      <c r="AE7" s="59" t="s">
        <v>240</v>
      </c>
      <c r="AF7" s="59" t="s">
        <v>240</v>
      </c>
      <c r="AG7" s="59" t="s">
        <v>240</v>
      </c>
      <c r="AH7" s="59" t="s">
        <v>240</v>
      </c>
      <c r="AI7" s="59" t="s">
        <v>1886</v>
      </c>
      <c r="AJ7" s="59" t="s">
        <v>240</v>
      </c>
      <c r="AK7" s="59" t="s">
        <v>240</v>
      </c>
      <c r="AL7" s="59" t="s">
        <v>240</v>
      </c>
      <c r="AM7" s="59">
        <v>182</v>
      </c>
      <c r="AN7" s="59" t="s">
        <v>1273</v>
      </c>
    </row>
    <row r="8" spans="1:64" x14ac:dyDescent="0.2">
      <c r="A8" s="59">
        <v>491</v>
      </c>
      <c r="B8" s="59">
        <v>377</v>
      </c>
      <c r="C8" s="59" t="s">
        <v>1280</v>
      </c>
      <c r="D8" s="59" t="s">
        <v>1280</v>
      </c>
      <c r="E8" s="59" t="s">
        <v>1279</v>
      </c>
      <c r="F8" s="59" t="s">
        <v>1281</v>
      </c>
      <c r="G8" s="59" t="s">
        <v>1903</v>
      </c>
      <c r="I8" s="59">
        <v>498</v>
      </c>
      <c r="J8" s="59">
        <v>377</v>
      </c>
      <c r="K8" s="59" t="s">
        <v>1904</v>
      </c>
      <c r="L8" s="59" t="s">
        <v>1276</v>
      </c>
      <c r="M8" s="59" t="s">
        <v>1892</v>
      </c>
      <c r="N8" s="59" t="s">
        <v>1892</v>
      </c>
      <c r="O8" s="59" t="s">
        <v>1892</v>
      </c>
      <c r="P8" s="59" t="b">
        <f>List129[[#This Row],[Income2018]]=List129[[#This Row],[Income]]</f>
        <v>1</v>
      </c>
      <c r="Q8" s="59" t="s">
        <v>1905</v>
      </c>
      <c r="R8" s="59" t="s">
        <v>240</v>
      </c>
      <c r="T8" s="59" t="s">
        <v>240</v>
      </c>
      <c r="U8" s="59" t="s">
        <v>1886</v>
      </c>
      <c r="V8" s="59" t="s">
        <v>240</v>
      </c>
      <c r="W8" s="60" t="s">
        <v>240</v>
      </c>
      <c r="X8" s="60" t="s">
        <v>240</v>
      </c>
      <c r="Y8" s="60" t="s">
        <v>240</v>
      </c>
      <c r="Z8" s="61" t="str">
        <f>IF(OR(List129[[#This Row],[Fragile 2018]]=1,List129[[#This Row],[Income]]="LDC"),1,"")</f>
        <v/>
      </c>
      <c r="AA8" s="59" t="s">
        <v>1886</v>
      </c>
      <c r="AB8" s="59" t="s">
        <v>1886</v>
      </c>
      <c r="AC8" s="59" t="s">
        <v>240</v>
      </c>
      <c r="AD8" s="59" t="s">
        <v>240</v>
      </c>
      <c r="AE8" s="59" t="s">
        <v>240</v>
      </c>
      <c r="AF8" s="59" t="s">
        <v>240</v>
      </c>
      <c r="AG8" s="59" t="s">
        <v>240</v>
      </c>
      <c r="AH8" s="59" t="s">
        <v>240</v>
      </c>
      <c r="AI8" s="59" t="s">
        <v>1886</v>
      </c>
      <c r="AJ8" s="59" t="s">
        <v>240</v>
      </c>
      <c r="AK8" s="59" t="s">
        <v>240</v>
      </c>
      <c r="AL8" s="59" t="s">
        <v>240</v>
      </c>
      <c r="AM8" s="59">
        <v>183</v>
      </c>
      <c r="AN8" s="59" t="s">
        <v>1280</v>
      </c>
    </row>
    <row r="9" spans="1:64" x14ac:dyDescent="0.2">
      <c r="A9" s="59">
        <v>511</v>
      </c>
      <c r="B9" s="59">
        <v>425</v>
      </c>
      <c r="C9" s="59" t="s">
        <v>1285</v>
      </c>
      <c r="D9" s="59" t="s">
        <v>1286</v>
      </c>
      <c r="E9" s="59" t="s">
        <v>1284</v>
      </c>
      <c r="F9" s="59" t="s">
        <v>1287</v>
      </c>
      <c r="G9" s="59" t="s">
        <v>1906</v>
      </c>
      <c r="I9" s="59">
        <v>498</v>
      </c>
      <c r="J9" s="59">
        <v>425</v>
      </c>
      <c r="K9" s="59" t="s">
        <v>1287</v>
      </c>
      <c r="L9" s="59" t="s">
        <v>1276</v>
      </c>
      <c r="M9" s="59" t="s">
        <v>1892</v>
      </c>
      <c r="N9" s="59" t="s">
        <v>1892</v>
      </c>
      <c r="O9" s="59" t="s">
        <v>1892</v>
      </c>
      <c r="P9" s="59" t="b">
        <f>List129[[#This Row],[Income2018]]=List129[[#This Row],[Income]]</f>
        <v>1</v>
      </c>
      <c r="Q9" s="59" t="s">
        <v>1907</v>
      </c>
      <c r="R9" s="59" t="s">
        <v>240</v>
      </c>
      <c r="T9" s="59" t="s">
        <v>240</v>
      </c>
      <c r="U9" s="59" t="s">
        <v>240</v>
      </c>
      <c r="V9" s="59" t="s">
        <v>240</v>
      </c>
      <c r="W9" s="60" t="s">
        <v>240</v>
      </c>
      <c r="X9" s="60" t="s">
        <v>240</v>
      </c>
      <c r="Y9" s="60" t="s">
        <v>240</v>
      </c>
      <c r="Z9" s="61" t="str">
        <f>IF(OR(List129[[#This Row],[Fragile 2018]]=1,List129[[#This Row],[Income]]="LDC"),1,"")</f>
        <v/>
      </c>
      <c r="AA9" s="59" t="s">
        <v>240</v>
      </c>
      <c r="AB9" s="59" t="s">
        <v>1886</v>
      </c>
      <c r="AC9" s="59" t="s">
        <v>240</v>
      </c>
      <c r="AD9" s="59" t="s">
        <v>240</v>
      </c>
      <c r="AE9" s="59" t="s">
        <v>240</v>
      </c>
      <c r="AF9" s="59" t="s">
        <v>240</v>
      </c>
      <c r="AG9" s="59" t="s">
        <v>240</v>
      </c>
      <c r="AH9" s="59" t="s">
        <v>240</v>
      </c>
      <c r="AI9" s="59" t="s">
        <v>1886</v>
      </c>
      <c r="AJ9" s="59" t="s">
        <v>240</v>
      </c>
      <c r="AK9" s="59" t="s">
        <v>240</v>
      </c>
      <c r="AL9" s="59" t="s">
        <v>240</v>
      </c>
      <c r="AM9" s="59">
        <v>209</v>
      </c>
      <c r="AN9" s="59" t="s">
        <v>1285</v>
      </c>
    </row>
    <row r="10" spans="1:64" x14ac:dyDescent="0.2">
      <c r="A10" s="59">
        <v>271</v>
      </c>
      <c r="B10" s="59">
        <v>610</v>
      </c>
      <c r="C10" s="59" t="s">
        <v>1292</v>
      </c>
      <c r="D10" s="59" t="s">
        <v>1293</v>
      </c>
      <c r="E10" s="59" t="s">
        <v>1291</v>
      </c>
      <c r="F10" s="59" t="s">
        <v>1294</v>
      </c>
      <c r="G10" s="59" t="s">
        <v>1908</v>
      </c>
      <c r="I10" s="59">
        <v>798</v>
      </c>
      <c r="J10" s="59">
        <v>610</v>
      </c>
      <c r="K10" s="59" t="s">
        <v>1294</v>
      </c>
      <c r="L10" s="59" t="s">
        <v>1253</v>
      </c>
      <c r="M10" s="59" t="s">
        <v>1891</v>
      </c>
      <c r="N10" s="59" t="s">
        <v>1891</v>
      </c>
      <c r="O10" s="59" t="s">
        <v>1891</v>
      </c>
      <c r="P10" s="59" t="b">
        <f>List129[[#This Row],[Income2018]]=List129[[#This Row],[Income]]</f>
        <v>1</v>
      </c>
      <c r="Q10" s="59" t="s">
        <v>1909</v>
      </c>
      <c r="R10" s="59" t="s">
        <v>240</v>
      </c>
      <c r="T10" s="59" t="s">
        <v>240</v>
      </c>
      <c r="U10" s="59" t="s">
        <v>240</v>
      </c>
      <c r="V10" s="59" t="s">
        <v>1886</v>
      </c>
      <c r="W10" s="60" t="s">
        <v>240</v>
      </c>
      <c r="X10" s="60" t="s">
        <v>240</v>
      </c>
      <c r="Y10" s="60" t="s">
        <v>240</v>
      </c>
      <c r="Z10" s="61" t="str">
        <f>IF(OR(List129[[#This Row],[Fragile 2018]]=1,List129[[#This Row],[Income]]="LDC"),1,"")</f>
        <v/>
      </c>
      <c r="AA10" s="59" t="s">
        <v>240</v>
      </c>
      <c r="AB10" s="59" t="s">
        <v>1886</v>
      </c>
      <c r="AC10" s="59" t="s">
        <v>240</v>
      </c>
      <c r="AD10" s="59" t="s">
        <v>240</v>
      </c>
      <c r="AE10" s="59" t="s">
        <v>240</v>
      </c>
      <c r="AF10" s="59" t="s">
        <v>240</v>
      </c>
      <c r="AG10" s="59" t="s">
        <v>240</v>
      </c>
      <c r="AH10" s="59" t="s">
        <v>240</v>
      </c>
      <c r="AI10" s="59" t="s">
        <v>240</v>
      </c>
      <c r="AJ10" s="59" t="s">
        <v>1886</v>
      </c>
      <c r="AK10" s="59" t="s">
        <v>240</v>
      </c>
      <c r="AL10" s="59" t="s">
        <v>240</v>
      </c>
      <c r="AM10" s="59">
        <v>241</v>
      </c>
      <c r="AN10" s="59" t="s">
        <v>1292</v>
      </c>
    </row>
    <row r="11" spans="1:64" x14ac:dyDescent="0.2">
      <c r="A11" s="59">
        <v>272</v>
      </c>
      <c r="B11" s="59">
        <v>611</v>
      </c>
      <c r="C11" s="59" t="s">
        <v>1298</v>
      </c>
      <c r="D11" s="59" t="s">
        <v>1299</v>
      </c>
      <c r="E11" s="59" t="s">
        <v>1297</v>
      </c>
      <c r="F11" s="59" t="s">
        <v>1300</v>
      </c>
      <c r="G11" s="59" t="s">
        <v>1910</v>
      </c>
      <c r="I11" s="59">
        <v>798</v>
      </c>
      <c r="J11" s="59">
        <v>611</v>
      </c>
      <c r="K11" s="59" t="s">
        <v>1300</v>
      </c>
      <c r="L11" s="59" t="s">
        <v>1253</v>
      </c>
      <c r="M11" s="59" t="s">
        <v>1891</v>
      </c>
      <c r="N11" s="59" t="s">
        <v>1892</v>
      </c>
      <c r="O11" s="59" t="s">
        <v>1892</v>
      </c>
      <c r="P11" s="59" t="b">
        <f>List129[[#This Row],[Income2018]]=List129[[#This Row],[Income]]</f>
        <v>0</v>
      </c>
      <c r="Q11" s="59" t="s">
        <v>1911</v>
      </c>
      <c r="R11" s="59" t="s">
        <v>240</v>
      </c>
      <c r="T11" s="59" t="s">
        <v>240</v>
      </c>
      <c r="U11" s="59" t="s">
        <v>240</v>
      </c>
      <c r="V11" s="59" t="s">
        <v>1886</v>
      </c>
      <c r="W11" s="60" t="s">
        <v>240</v>
      </c>
      <c r="X11" s="60" t="s">
        <v>240</v>
      </c>
      <c r="Y11" s="60" t="s">
        <v>240</v>
      </c>
      <c r="Z11" s="61" t="str">
        <f>IF(OR(List129[[#This Row],[Fragile 2018]]=1,List129[[#This Row],[Income]]="LDC"),1,"")</f>
        <v/>
      </c>
      <c r="AA11" s="59" t="s">
        <v>240</v>
      </c>
      <c r="AB11" s="59" t="s">
        <v>1886</v>
      </c>
      <c r="AC11" s="59" t="s">
        <v>240</v>
      </c>
      <c r="AD11" s="59" t="s">
        <v>240</v>
      </c>
      <c r="AE11" s="59" t="s">
        <v>240</v>
      </c>
      <c r="AF11" s="59" t="s">
        <v>240</v>
      </c>
      <c r="AG11" s="59" t="s">
        <v>240</v>
      </c>
      <c r="AH11" s="59" t="s">
        <v>240</v>
      </c>
      <c r="AI11" s="59" t="s">
        <v>240</v>
      </c>
      <c r="AJ11" s="59" t="s">
        <v>1886</v>
      </c>
      <c r="AK11" s="59" t="s">
        <v>240</v>
      </c>
      <c r="AL11" s="59" t="s">
        <v>240</v>
      </c>
      <c r="AM11" s="59">
        <v>242</v>
      </c>
      <c r="AN11" s="59" t="s">
        <v>1298</v>
      </c>
    </row>
    <row r="12" spans="1:64" x14ac:dyDescent="0.2">
      <c r="A12" s="59">
        <v>237</v>
      </c>
      <c r="B12" s="59">
        <v>666</v>
      </c>
      <c r="C12" s="59" t="s">
        <v>1303</v>
      </c>
      <c r="D12" s="59" t="s">
        <v>1303</v>
      </c>
      <c r="E12" s="59" t="s">
        <v>1303</v>
      </c>
      <c r="F12" s="59" t="s">
        <v>1304</v>
      </c>
      <c r="G12" s="59" t="s">
        <v>979</v>
      </c>
      <c r="H12" s="59" t="s">
        <v>1303</v>
      </c>
      <c r="I12" s="59">
        <v>798</v>
      </c>
      <c r="J12" s="59">
        <v>666</v>
      </c>
      <c r="K12" s="59" t="s">
        <v>1912</v>
      </c>
      <c r="L12" s="59" t="s">
        <v>1253</v>
      </c>
      <c r="M12" s="59" t="s">
        <v>1888</v>
      </c>
      <c r="N12" s="59" t="s">
        <v>1888</v>
      </c>
      <c r="O12" s="59" t="s">
        <v>1888</v>
      </c>
      <c r="P12" s="59" t="b">
        <f>List129[[#This Row],[Income2018]]=List129[[#This Row],[Income]]</f>
        <v>1</v>
      </c>
      <c r="Q12" s="59" t="s">
        <v>1913</v>
      </c>
      <c r="R12" s="59" t="s">
        <v>240</v>
      </c>
      <c r="T12" s="59" t="s">
        <v>1886</v>
      </c>
      <c r="U12" s="59" t="s">
        <v>240</v>
      </c>
      <c r="V12" s="59" t="s">
        <v>240</v>
      </c>
      <c r="W12" s="60" t="s">
        <v>1886</v>
      </c>
      <c r="X12" s="60" t="s">
        <v>1886</v>
      </c>
      <c r="Y12" s="60">
        <v>1</v>
      </c>
      <c r="Z12" s="61">
        <f>IF(OR(List129[[#This Row],[Fragile 2018]]=1,List129[[#This Row],[Income]]="LDC"),1,"")</f>
        <v>1</v>
      </c>
      <c r="AA12" s="59" t="s">
        <v>240</v>
      </c>
      <c r="AB12" s="59" t="s">
        <v>1886</v>
      </c>
      <c r="AC12" s="59" t="s">
        <v>240</v>
      </c>
      <c r="AD12" s="59" t="s">
        <v>240</v>
      </c>
      <c r="AE12" s="59" t="s">
        <v>240</v>
      </c>
      <c r="AF12" s="59" t="s">
        <v>240</v>
      </c>
      <c r="AG12" s="59" t="s">
        <v>240</v>
      </c>
      <c r="AH12" s="59" t="s">
        <v>240</v>
      </c>
      <c r="AI12" s="59" t="s">
        <v>240</v>
      </c>
      <c r="AJ12" s="59" t="s">
        <v>1886</v>
      </c>
      <c r="AK12" s="59" t="s">
        <v>240</v>
      </c>
      <c r="AL12" s="59" t="s">
        <v>240</v>
      </c>
      <c r="AM12" s="59">
        <v>243</v>
      </c>
      <c r="AN12" s="59" t="s">
        <v>1303</v>
      </c>
    </row>
    <row r="13" spans="1:64" x14ac:dyDescent="0.2">
      <c r="A13" s="59">
        <v>423</v>
      </c>
      <c r="B13" s="59">
        <v>329</v>
      </c>
      <c r="C13" s="59" t="s">
        <v>1307</v>
      </c>
      <c r="D13" s="59" t="s">
        <v>1308</v>
      </c>
      <c r="E13" s="59" t="s">
        <v>1307</v>
      </c>
      <c r="F13" s="59" t="s">
        <v>1309</v>
      </c>
      <c r="G13" s="59" t="s">
        <v>1914</v>
      </c>
      <c r="I13" s="59">
        <v>498</v>
      </c>
      <c r="J13" s="59">
        <v>329</v>
      </c>
      <c r="K13" s="59" t="s">
        <v>1915</v>
      </c>
      <c r="L13" s="59" t="s">
        <v>1276</v>
      </c>
      <c r="M13" s="59" t="s">
        <v>1892</v>
      </c>
      <c r="O13" s="59" t="s">
        <v>1901</v>
      </c>
      <c r="P13" s="59" t="b">
        <f>List129[[#This Row],[Income2018]]=List129[[#This Row],[Income]]</f>
        <v>0</v>
      </c>
      <c r="Q13" s="59" t="s">
        <v>1916</v>
      </c>
      <c r="R13" s="59" t="s">
        <v>240</v>
      </c>
      <c r="T13" s="59" t="s">
        <v>240</v>
      </c>
      <c r="U13" s="59" t="s">
        <v>1886</v>
      </c>
      <c r="V13" s="59" t="s">
        <v>240</v>
      </c>
      <c r="W13" s="60" t="s">
        <v>240</v>
      </c>
      <c r="X13" s="60" t="s">
        <v>240</v>
      </c>
      <c r="Y13" s="60" t="s">
        <v>240</v>
      </c>
      <c r="Z13" s="61" t="str">
        <f>IF(OR(List129[[#This Row],[Fragile 2018]]=1,List129[[#This Row],[Income]]="LDC"),1,"")</f>
        <v/>
      </c>
      <c r="AA13" s="59" t="s">
        <v>1886</v>
      </c>
      <c r="AB13" s="59" t="s">
        <v>1886</v>
      </c>
      <c r="AC13" s="59" t="s">
        <v>240</v>
      </c>
      <c r="AD13" s="59" t="s">
        <v>240</v>
      </c>
      <c r="AE13" s="59" t="s">
        <v>240</v>
      </c>
      <c r="AF13" s="59" t="s">
        <v>240</v>
      </c>
      <c r="AG13" s="59" t="s">
        <v>240</v>
      </c>
      <c r="AH13" s="59" t="s">
        <v>240</v>
      </c>
      <c r="AI13" s="59" t="s">
        <v>1886</v>
      </c>
      <c r="AJ13" s="59" t="s">
        <v>240</v>
      </c>
      <c r="AK13" s="59" t="s">
        <v>240</v>
      </c>
      <c r="AL13" s="59" t="s">
        <v>240</v>
      </c>
      <c r="AM13" s="59">
        <v>184</v>
      </c>
      <c r="AN13" s="59" t="s">
        <v>1307</v>
      </c>
    </row>
    <row r="14" spans="1:64" x14ac:dyDescent="0.2">
      <c r="A14" s="59">
        <v>142</v>
      </c>
      <c r="B14" s="59">
        <v>86</v>
      </c>
      <c r="C14" s="59" t="s">
        <v>1313</v>
      </c>
      <c r="D14" s="59" t="s">
        <v>1313</v>
      </c>
      <c r="E14" s="59" t="s">
        <v>1313</v>
      </c>
      <c r="F14" s="59" t="s">
        <v>1314</v>
      </c>
      <c r="G14" s="59" t="s">
        <v>1917</v>
      </c>
      <c r="I14" s="59">
        <v>89</v>
      </c>
      <c r="J14" s="59">
        <v>86</v>
      </c>
      <c r="K14" s="59" t="s">
        <v>1918</v>
      </c>
      <c r="L14" s="59" t="s">
        <v>1259</v>
      </c>
      <c r="M14" s="59" t="s">
        <v>1892</v>
      </c>
      <c r="N14" s="59" t="s">
        <v>1892</v>
      </c>
      <c r="O14" s="59" t="s">
        <v>1892</v>
      </c>
      <c r="P14" s="59" t="b">
        <f>List129[[#This Row],[Income2018]]=List129[[#This Row],[Income]]</f>
        <v>1</v>
      </c>
      <c r="Q14" s="59" t="s">
        <v>1919</v>
      </c>
      <c r="R14" s="59" t="s">
        <v>240</v>
      </c>
      <c r="T14" s="59" t="s">
        <v>240</v>
      </c>
      <c r="U14" s="59" t="s">
        <v>240</v>
      </c>
      <c r="V14" s="59" t="s">
        <v>240</v>
      </c>
      <c r="W14" s="60" t="s">
        <v>240</v>
      </c>
      <c r="X14" s="60" t="s">
        <v>240</v>
      </c>
      <c r="Y14" s="60" t="s">
        <v>240</v>
      </c>
      <c r="Z14" s="61" t="str">
        <f>IF(OR(List129[[#This Row],[Fragile 2018]]=1,List129[[#This Row],[Income]]="LDC"),1,"")</f>
        <v/>
      </c>
      <c r="AA14" s="59" t="s">
        <v>240</v>
      </c>
      <c r="AB14" s="59" t="s">
        <v>1886</v>
      </c>
      <c r="AC14" s="59" t="s">
        <v>240</v>
      </c>
      <c r="AD14" s="59" t="s">
        <v>240</v>
      </c>
      <c r="AE14" s="59" t="s">
        <v>240</v>
      </c>
      <c r="AF14" s="59" t="s">
        <v>240</v>
      </c>
      <c r="AG14" s="59" t="s">
        <v>240</v>
      </c>
      <c r="AH14" s="59" t="s">
        <v>240</v>
      </c>
      <c r="AI14" s="59" t="s">
        <v>240</v>
      </c>
      <c r="AJ14" s="59" t="s">
        <v>240</v>
      </c>
      <c r="AK14" s="59" t="s">
        <v>240</v>
      </c>
      <c r="AL14" s="59" t="s">
        <v>1886</v>
      </c>
      <c r="AM14" s="59">
        <v>102</v>
      </c>
      <c r="AN14" s="59" t="s">
        <v>1313</v>
      </c>
    </row>
    <row r="15" spans="1:64" x14ac:dyDescent="0.2">
      <c r="A15" s="59">
        <v>430</v>
      </c>
      <c r="B15" s="59">
        <v>352</v>
      </c>
      <c r="C15" s="59" t="s">
        <v>1317</v>
      </c>
      <c r="D15" s="59" t="s">
        <v>1318</v>
      </c>
      <c r="E15" s="59" t="s">
        <v>1317</v>
      </c>
      <c r="F15" s="59" t="s">
        <v>1319</v>
      </c>
      <c r="G15" s="59" t="s">
        <v>1920</v>
      </c>
      <c r="I15" s="59">
        <v>498</v>
      </c>
      <c r="J15" s="59">
        <v>352</v>
      </c>
      <c r="K15" s="59" t="s">
        <v>1921</v>
      </c>
      <c r="L15" s="59" t="s">
        <v>1276</v>
      </c>
      <c r="M15" s="59" t="s">
        <v>1892</v>
      </c>
      <c r="N15" s="59" t="s">
        <v>1892</v>
      </c>
      <c r="O15" s="59" t="s">
        <v>1892</v>
      </c>
      <c r="P15" s="59" t="b">
        <f>List129[[#This Row],[Income2018]]=List129[[#This Row],[Income]]</f>
        <v>1</v>
      </c>
      <c r="Q15" s="59" t="s">
        <v>1922</v>
      </c>
      <c r="R15" s="59" t="s">
        <v>240</v>
      </c>
      <c r="T15" s="59" t="s">
        <v>240</v>
      </c>
      <c r="U15" s="59" t="s">
        <v>1886</v>
      </c>
      <c r="V15" s="59" t="s">
        <v>240</v>
      </c>
      <c r="W15" s="60" t="s">
        <v>240</v>
      </c>
      <c r="X15" s="60" t="s">
        <v>240</v>
      </c>
      <c r="Y15" s="60" t="s">
        <v>240</v>
      </c>
      <c r="Z15" s="61" t="str">
        <f>IF(OR(List129[[#This Row],[Fragile 2018]]=1,List129[[#This Row],[Income]]="LDC"),1,"")</f>
        <v/>
      </c>
      <c r="AA15" s="59" t="s">
        <v>1886</v>
      </c>
      <c r="AB15" s="59" t="s">
        <v>1886</v>
      </c>
      <c r="AC15" s="59" t="s">
        <v>240</v>
      </c>
      <c r="AD15" s="59" t="s">
        <v>240</v>
      </c>
      <c r="AE15" s="59" t="s">
        <v>240</v>
      </c>
      <c r="AF15" s="59" t="s">
        <v>240</v>
      </c>
      <c r="AG15" s="59" t="s">
        <v>240</v>
      </c>
      <c r="AH15" s="59" t="s">
        <v>240</v>
      </c>
      <c r="AI15" s="59" t="s">
        <v>1886</v>
      </c>
      <c r="AJ15" s="59" t="s">
        <v>240</v>
      </c>
      <c r="AK15" s="59" t="s">
        <v>240</v>
      </c>
      <c r="AL15" s="59" t="s">
        <v>240</v>
      </c>
      <c r="AM15" s="59">
        <v>185</v>
      </c>
      <c r="AN15" s="59" t="s">
        <v>1317</v>
      </c>
    </row>
    <row r="16" spans="1:64" x14ac:dyDescent="0.2">
      <c r="A16" s="59">
        <v>310</v>
      </c>
      <c r="B16" s="59">
        <v>236</v>
      </c>
      <c r="C16" s="59" t="s">
        <v>1245</v>
      </c>
      <c r="D16" s="59" t="s">
        <v>1323</v>
      </c>
      <c r="E16" s="59" t="s">
        <v>1245</v>
      </c>
      <c r="F16" s="59" t="s">
        <v>1324</v>
      </c>
      <c r="G16" s="59" t="s">
        <v>1923</v>
      </c>
      <c r="H16" s="59" t="s">
        <v>1245</v>
      </c>
      <c r="I16" s="59">
        <v>289</v>
      </c>
      <c r="J16" s="59">
        <v>236</v>
      </c>
      <c r="K16" s="59" t="s">
        <v>1324</v>
      </c>
      <c r="L16" s="59" t="s">
        <v>1270</v>
      </c>
      <c r="M16" s="59" t="s">
        <v>1888</v>
      </c>
      <c r="N16" s="59" t="s">
        <v>1888</v>
      </c>
      <c r="O16" s="59" t="s">
        <v>1888</v>
      </c>
      <c r="P16" s="59" t="b">
        <f>List129[[#This Row],[Income2018]]=List129[[#This Row],[Income]]</f>
        <v>1</v>
      </c>
      <c r="Q16" s="59" t="s">
        <v>1924</v>
      </c>
      <c r="R16" s="59" t="s">
        <v>1886</v>
      </c>
      <c r="S16" s="59" t="s">
        <v>1324</v>
      </c>
      <c r="T16" s="59" t="s">
        <v>1886</v>
      </c>
      <c r="U16" s="59" t="s">
        <v>240</v>
      </c>
      <c r="V16" s="59" t="s">
        <v>240</v>
      </c>
      <c r="W16" s="60" t="s">
        <v>240</v>
      </c>
      <c r="X16" s="60" t="s">
        <v>240</v>
      </c>
      <c r="Y16" s="60" t="s">
        <v>240</v>
      </c>
      <c r="Z16" s="61">
        <f>IF(OR(List129[[#This Row],[Fragile 2018]]=1,List129[[#This Row],[Income]]="LDC"),1,"")</f>
        <v>1</v>
      </c>
      <c r="AA16" s="59" t="s">
        <v>1886</v>
      </c>
      <c r="AB16" s="59" t="s">
        <v>1886</v>
      </c>
      <c r="AC16" s="59" t="s">
        <v>1886</v>
      </c>
      <c r="AD16" s="59" t="s">
        <v>1925</v>
      </c>
      <c r="AE16" s="59" t="s">
        <v>240</v>
      </c>
      <c r="AF16" s="59" t="s">
        <v>1886</v>
      </c>
      <c r="AG16" s="59" t="s">
        <v>240</v>
      </c>
      <c r="AH16" s="59" t="s">
        <v>1886</v>
      </c>
      <c r="AI16" s="59" t="s">
        <v>240</v>
      </c>
      <c r="AJ16" s="59" t="s">
        <v>240</v>
      </c>
      <c r="AK16" s="59" t="s">
        <v>240</v>
      </c>
      <c r="AL16" s="59" t="s">
        <v>240</v>
      </c>
      <c r="AM16" s="59">
        <v>126</v>
      </c>
      <c r="AN16" s="59" t="s">
        <v>1245</v>
      </c>
    </row>
    <row r="17" spans="1:40" x14ac:dyDescent="0.2">
      <c r="A17" s="59">
        <v>223</v>
      </c>
      <c r="B17" s="59">
        <v>630</v>
      </c>
      <c r="C17" s="59" t="s">
        <v>1328</v>
      </c>
      <c r="D17" s="59" t="s">
        <v>1328</v>
      </c>
      <c r="E17" s="59" t="s">
        <v>1327</v>
      </c>
      <c r="F17" s="59" t="s">
        <v>1329</v>
      </c>
      <c r="G17" s="59" t="s">
        <v>1926</v>
      </c>
      <c r="I17" s="59">
        <v>798</v>
      </c>
      <c r="J17" s="59">
        <v>630</v>
      </c>
      <c r="K17" s="59" t="s">
        <v>1927</v>
      </c>
      <c r="L17" s="59" t="s">
        <v>1253</v>
      </c>
      <c r="M17" s="59" t="s">
        <v>1888</v>
      </c>
      <c r="N17" s="59" t="s">
        <v>1888</v>
      </c>
      <c r="O17" s="59" t="s">
        <v>1888</v>
      </c>
      <c r="P17" s="59" t="b">
        <f>List129[[#This Row],[Income2018]]=List129[[#This Row],[Income]]</f>
        <v>1</v>
      </c>
      <c r="Q17" s="59" t="s">
        <v>1928</v>
      </c>
      <c r="R17" s="59" t="s">
        <v>240</v>
      </c>
      <c r="T17" s="59" t="s">
        <v>1886</v>
      </c>
      <c r="U17" s="59" t="s">
        <v>240</v>
      </c>
      <c r="V17" s="59" t="s">
        <v>1886</v>
      </c>
      <c r="W17" s="60" t="s">
        <v>240</v>
      </c>
      <c r="X17" s="60" t="s">
        <v>240</v>
      </c>
      <c r="Y17" s="60" t="s">
        <v>240</v>
      </c>
      <c r="Z17" s="61">
        <f>IF(OR(List129[[#This Row],[Fragile 2018]]=1,List129[[#This Row],[Income]]="LDC"),1,"")</f>
        <v>1</v>
      </c>
      <c r="AA17" s="59" t="s">
        <v>240</v>
      </c>
      <c r="AB17" s="59" t="s">
        <v>1886</v>
      </c>
      <c r="AC17" s="59" t="s">
        <v>240</v>
      </c>
      <c r="AD17" s="59" t="s">
        <v>240</v>
      </c>
      <c r="AE17" s="59" t="s">
        <v>240</v>
      </c>
      <c r="AF17" s="59" t="s">
        <v>240</v>
      </c>
      <c r="AG17" s="59" t="s">
        <v>240</v>
      </c>
      <c r="AH17" s="59" t="s">
        <v>240</v>
      </c>
      <c r="AI17" s="59" t="s">
        <v>240</v>
      </c>
      <c r="AJ17" s="59" t="s">
        <v>1886</v>
      </c>
      <c r="AK17" s="59" t="s">
        <v>240</v>
      </c>
      <c r="AL17" s="59" t="s">
        <v>240</v>
      </c>
      <c r="AM17" s="59">
        <v>244</v>
      </c>
      <c r="AN17" s="59" t="s">
        <v>1328</v>
      </c>
    </row>
    <row r="18" spans="1:40" x14ac:dyDescent="0.2">
      <c r="A18" s="59">
        <v>316</v>
      </c>
      <c r="B18" s="59">
        <v>287</v>
      </c>
      <c r="C18" s="59" t="s">
        <v>868</v>
      </c>
      <c r="D18" s="59" t="s">
        <v>868</v>
      </c>
      <c r="E18" s="59" t="s">
        <v>868</v>
      </c>
      <c r="F18" s="59" t="s">
        <v>1351</v>
      </c>
      <c r="G18" s="59" t="s">
        <v>1929</v>
      </c>
      <c r="H18" s="59" t="s">
        <v>868</v>
      </c>
      <c r="I18" s="59">
        <v>289</v>
      </c>
      <c r="J18" s="59">
        <v>287</v>
      </c>
      <c r="K18" s="59" t="s">
        <v>1930</v>
      </c>
      <c r="L18" s="59" t="s">
        <v>1270</v>
      </c>
      <c r="M18" s="59" t="s">
        <v>1888</v>
      </c>
      <c r="N18" s="59" t="s">
        <v>1888</v>
      </c>
      <c r="O18" s="59" t="s">
        <v>1888</v>
      </c>
      <c r="P18" s="59" t="b">
        <f>List129[[#This Row],[Income2018]]=List129[[#This Row],[Income]]</f>
        <v>1</v>
      </c>
      <c r="Q18" s="59" t="s">
        <v>1931</v>
      </c>
      <c r="R18" s="59" t="s">
        <v>240</v>
      </c>
      <c r="S18" s="59" t="s">
        <v>1351</v>
      </c>
      <c r="T18" s="59" t="s">
        <v>1886</v>
      </c>
      <c r="U18" s="59" t="s">
        <v>240</v>
      </c>
      <c r="V18" s="59" t="s">
        <v>1886</v>
      </c>
      <c r="W18" s="60" t="s">
        <v>1886</v>
      </c>
      <c r="X18" s="60" t="s">
        <v>240</v>
      </c>
      <c r="Y18" s="60">
        <v>1</v>
      </c>
      <c r="Z18" s="61">
        <f>IF(OR(List129[[#This Row],[Fragile 2018]]=1,List129[[#This Row],[Income]]="LDC"),1,"")</f>
        <v>1</v>
      </c>
      <c r="AA18" s="59" t="s">
        <v>1886</v>
      </c>
      <c r="AB18" s="59" t="s">
        <v>1886</v>
      </c>
      <c r="AC18" s="59" t="s">
        <v>1886</v>
      </c>
      <c r="AD18" s="59" t="s">
        <v>1925</v>
      </c>
      <c r="AE18" s="59" t="s">
        <v>240</v>
      </c>
      <c r="AF18" s="59" t="s">
        <v>1886</v>
      </c>
      <c r="AG18" s="59" t="s">
        <v>240</v>
      </c>
      <c r="AH18" s="59" t="s">
        <v>1886</v>
      </c>
      <c r="AI18" s="59" t="s">
        <v>240</v>
      </c>
      <c r="AJ18" s="59" t="s">
        <v>240</v>
      </c>
      <c r="AK18" s="59" t="s">
        <v>240</v>
      </c>
      <c r="AL18" s="59" t="s">
        <v>240</v>
      </c>
      <c r="AM18" s="59">
        <v>128</v>
      </c>
      <c r="AN18" s="59" t="s">
        <v>868</v>
      </c>
    </row>
    <row r="19" spans="1:40" x14ac:dyDescent="0.2">
      <c r="A19" s="59">
        <v>135</v>
      </c>
      <c r="B19" s="59">
        <v>64</v>
      </c>
      <c r="C19" s="59" t="s">
        <v>1337</v>
      </c>
      <c r="D19" s="59" t="s">
        <v>1338</v>
      </c>
      <c r="E19" s="59" t="s">
        <v>1336</v>
      </c>
      <c r="F19" s="59" t="s">
        <v>1339</v>
      </c>
      <c r="G19" s="59" t="s">
        <v>1932</v>
      </c>
      <c r="I19" s="59">
        <v>89</v>
      </c>
      <c r="J19" s="59">
        <v>64</v>
      </c>
      <c r="K19" s="59" t="s">
        <v>1933</v>
      </c>
      <c r="L19" s="59" t="s">
        <v>1259</v>
      </c>
      <c r="M19" s="59" t="s">
        <v>1891</v>
      </c>
      <c r="N19" s="59" t="s">
        <v>1892</v>
      </c>
      <c r="O19" s="59" t="s">
        <v>1892</v>
      </c>
      <c r="P19" s="59" t="b">
        <f>List129[[#This Row],[Income2018]]=List129[[#This Row],[Income]]</f>
        <v>0</v>
      </c>
      <c r="Q19" s="59" t="s">
        <v>1934</v>
      </c>
      <c r="R19" s="59" t="s">
        <v>240</v>
      </c>
      <c r="T19" s="59" t="s">
        <v>240</v>
      </c>
      <c r="U19" s="59" t="s">
        <v>240</v>
      </c>
      <c r="V19" s="59" t="s">
        <v>240</v>
      </c>
      <c r="W19" s="60" t="s">
        <v>1886</v>
      </c>
      <c r="X19" s="60" t="s">
        <v>1886</v>
      </c>
      <c r="Y19" s="60" t="s">
        <v>240</v>
      </c>
      <c r="Z19" s="61" t="str">
        <f>IF(OR(List129[[#This Row],[Fragile 2018]]=1,List129[[#This Row],[Income]]="LDC"),1,"")</f>
        <v/>
      </c>
      <c r="AA19" s="59" t="s">
        <v>240</v>
      </c>
      <c r="AB19" s="59" t="s">
        <v>1886</v>
      </c>
      <c r="AC19" s="59" t="s">
        <v>240</v>
      </c>
      <c r="AD19" s="59" t="s">
        <v>240</v>
      </c>
      <c r="AE19" s="59" t="s">
        <v>240</v>
      </c>
      <c r="AF19" s="59" t="s">
        <v>240</v>
      </c>
      <c r="AG19" s="59" t="s">
        <v>240</v>
      </c>
      <c r="AH19" s="59" t="s">
        <v>240</v>
      </c>
      <c r="AI19" s="59" t="s">
        <v>240</v>
      </c>
      <c r="AJ19" s="59" t="s">
        <v>240</v>
      </c>
      <c r="AK19" s="59" t="s">
        <v>240</v>
      </c>
      <c r="AL19" s="59" t="s">
        <v>1886</v>
      </c>
      <c r="AM19" s="59">
        <v>103</v>
      </c>
      <c r="AN19" s="59" t="s">
        <v>1337</v>
      </c>
    </row>
    <row r="20" spans="1:40" x14ac:dyDescent="0.2">
      <c r="A20" s="59">
        <v>302</v>
      </c>
      <c r="B20" s="59">
        <v>227</v>
      </c>
      <c r="C20" s="59" t="s">
        <v>1341</v>
      </c>
      <c r="D20" s="59" t="s">
        <v>1341</v>
      </c>
      <c r="E20" s="59" t="s">
        <v>1341</v>
      </c>
      <c r="F20" s="59" t="s">
        <v>1342</v>
      </c>
      <c r="G20" s="59" t="s">
        <v>1935</v>
      </c>
      <c r="I20" s="59">
        <v>289</v>
      </c>
      <c r="J20" s="59">
        <v>227</v>
      </c>
      <c r="K20" s="59" t="s">
        <v>1936</v>
      </c>
      <c r="L20" s="59" t="s">
        <v>1270</v>
      </c>
      <c r="M20" s="59" t="s">
        <v>1892</v>
      </c>
      <c r="N20" s="59" t="s">
        <v>1892</v>
      </c>
      <c r="O20" s="59" t="s">
        <v>1892</v>
      </c>
      <c r="P20" s="59" t="b">
        <f>List129[[#This Row],[Income2018]]=List129[[#This Row],[Income]]</f>
        <v>1</v>
      </c>
      <c r="Q20" s="59" t="s">
        <v>1937</v>
      </c>
      <c r="R20" s="59" t="s">
        <v>240</v>
      </c>
      <c r="T20" s="59" t="s">
        <v>240</v>
      </c>
      <c r="U20" s="59" t="s">
        <v>240</v>
      </c>
      <c r="V20" s="59" t="s">
        <v>1886</v>
      </c>
      <c r="W20" s="60" t="s">
        <v>240</v>
      </c>
      <c r="X20" s="60" t="s">
        <v>240</v>
      </c>
      <c r="Y20" s="60" t="s">
        <v>240</v>
      </c>
      <c r="Z20" s="61" t="str">
        <f>IF(OR(List129[[#This Row],[Fragile 2018]]=1,List129[[#This Row],[Income]]="LDC"),1,"")</f>
        <v/>
      </c>
      <c r="AA20" s="59" t="s">
        <v>1886</v>
      </c>
      <c r="AB20" s="59" t="s">
        <v>1886</v>
      </c>
      <c r="AC20" s="59" t="s">
        <v>240</v>
      </c>
      <c r="AD20" s="59" t="s">
        <v>240</v>
      </c>
      <c r="AE20" s="59" t="s">
        <v>240</v>
      </c>
      <c r="AF20" s="59" t="s">
        <v>1886</v>
      </c>
      <c r="AG20" s="59" t="s">
        <v>240</v>
      </c>
      <c r="AH20" s="59" t="s">
        <v>1886</v>
      </c>
      <c r="AI20" s="59" t="s">
        <v>240</v>
      </c>
      <c r="AJ20" s="59" t="s">
        <v>240</v>
      </c>
      <c r="AK20" s="59" t="s">
        <v>240</v>
      </c>
      <c r="AL20" s="59" t="s">
        <v>240</v>
      </c>
      <c r="AM20" s="59">
        <v>127</v>
      </c>
      <c r="AN20" s="59" t="s">
        <v>1341</v>
      </c>
    </row>
    <row r="21" spans="1:40" x14ac:dyDescent="0.2">
      <c r="A21" s="59">
        <v>513</v>
      </c>
      <c r="B21" s="59">
        <v>431</v>
      </c>
      <c r="C21" s="59" t="s">
        <v>1346</v>
      </c>
      <c r="D21" s="59" t="s">
        <v>1347</v>
      </c>
      <c r="E21" s="59" t="s">
        <v>1345</v>
      </c>
      <c r="F21" s="59" t="s">
        <v>1348</v>
      </c>
      <c r="G21" s="59" t="s">
        <v>1938</v>
      </c>
      <c r="H21" s="59" t="s">
        <v>1346</v>
      </c>
      <c r="I21" s="59">
        <v>498</v>
      </c>
      <c r="J21" s="59">
        <v>431</v>
      </c>
      <c r="K21" s="59" t="s">
        <v>1348</v>
      </c>
      <c r="L21" s="59" t="s">
        <v>1276</v>
      </c>
      <c r="M21" s="59" t="s">
        <v>1892</v>
      </c>
      <c r="N21" s="59" t="s">
        <v>1892</v>
      </c>
      <c r="O21" s="59" t="s">
        <v>1892</v>
      </c>
      <c r="P21" s="59" t="b">
        <f>List129[[#This Row],[Income2018]]=List129[[#This Row],[Income]]</f>
        <v>1</v>
      </c>
      <c r="Q21" s="59" t="s">
        <v>1939</v>
      </c>
      <c r="R21" s="59" t="s">
        <v>240</v>
      </c>
      <c r="T21" s="59" t="s">
        <v>240</v>
      </c>
      <c r="U21" s="59" t="s">
        <v>240</v>
      </c>
      <c r="V21" s="59" t="s">
        <v>240</v>
      </c>
      <c r="W21" s="60" t="s">
        <v>240</v>
      </c>
      <c r="X21" s="60" t="s">
        <v>240</v>
      </c>
      <c r="Y21" s="60" t="s">
        <v>240</v>
      </c>
      <c r="Z21" s="61" t="str">
        <f>IF(OR(List129[[#This Row],[Fragile 2018]]=1,List129[[#This Row],[Income]]="LDC"),1,"")</f>
        <v/>
      </c>
      <c r="AA21" s="59" t="s">
        <v>240</v>
      </c>
      <c r="AB21" s="59" t="s">
        <v>1886</v>
      </c>
      <c r="AC21" s="59" t="s">
        <v>240</v>
      </c>
      <c r="AD21" s="59" t="s">
        <v>240</v>
      </c>
      <c r="AE21" s="59" t="s">
        <v>240</v>
      </c>
      <c r="AF21" s="59" t="s">
        <v>240</v>
      </c>
      <c r="AG21" s="59" t="s">
        <v>240</v>
      </c>
      <c r="AH21" s="59" t="s">
        <v>240</v>
      </c>
      <c r="AI21" s="59" t="s">
        <v>1886</v>
      </c>
      <c r="AJ21" s="59" t="s">
        <v>240</v>
      </c>
      <c r="AK21" s="59" t="s">
        <v>240</v>
      </c>
      <c r="AL21" s="59" t="s">
        <v>240</v>
      </c>
      <c r="AM21" s="59">
        <v>211</v>
      </c>
      <c r="AN21" s="59" t="s">
        <v>1346</v>
      </c>
    </row>
    <row r="22" spans="1:40" x14ac:dyDescent="0.2">
      <c r="A22" s="59">
        <v>315</v>
      </c>
      <c r="B22" s="59">
        <v>243</v>
      </c>
      <c r="C22" s="59" t="s">
        <v>1446</v>
      </c>
      <c r="D22" s="59" t="s">
        <v>1447</v>
      </c>
      <c r="E22" s="59" t="s">
        <v>1290</v>
      </c>
      <c r="F22" s="59" t="s">
        <v>1448</v>
      </c>
      <c r="G22" s="59" t="s">
        <v>1940</v>
      </c>
      <c r="H22" s="59" t="s">
        <v>1446</v>
      </c>
      <c r="I22" s="59">
        <v>289</v>
      </c>
      <c r="J22" s="59">
        <v>243</v>
      </c>
      <c r="K22" s="59" t="s">
        <v>1941</v>
      </c>
      <c r="L22" s="59" t="s">
        <v>1270</v>
      </c>
      <c r="M22" s="59" t="s">
        <v>1888</v>
      </c>
      <c r="N22" s="59" t="s">
        <v>1888</v>
      </c>
      <c r="O22" s="59" t="s">
        <v>1888</v>
      </c>
      <c r="P22" s="59" t="b">
        <f>List129[[#This Row],[Income2018]]=List129[[#This Row],[Income]]</f>
        <v>1</v>
      </c>
      <c r="Q22" s="59" t="s">
        <v>1942</v>
      </c>
      <c r="R22" s="59" t="s">
        <v>240</v>
      </c>
      <c r="S22" s="59" t="s">
        <v>1448</v>
      </c>
      <c r="T22" s="59" t="s">
        <v>1886</v>
      </c>
      <c r="U22" s="59" t="s">
        <v>240</v>
      </c>
      <c r="V22" s="59" t="s">
        <v>240</v>
      </c>
      <c r="W22" s="60" t="s">
        <v>1886</v>
      </c>
      <c r="X22" s="60" t="s">
        <v>1886</v>
      </c>
      <c r="Y22" s="60">
        <v>1</v>
      </c>
      <c r="Z22" s="61">
        <f>IF(OR(List129[[#This Row],[Fragile 2018]]=1,List129[[#This Row],[Income]]="LDC"),1,"")</f>
        <v>1</v>
      </c>
      <c r="AA22" s="59" t="s">
        <v>1886</v>
      </c>
      <c r="AB22" s="59" t="s">
        <v>1886</v>
      </c>
      <c r="AC22" s="59" t="s">
        <v>1886</v>
      </c>
      <c r="AD22" s="59" t="s">
        <v>1925</v>
      </c>
      <c r="AE22" s="59" t="s">
        <v>240</v>
      </c>
      <c r="AF22" s="59" t="s">
        <v>1886</v>
      </c>
      <c r="AG22" s="59" t="s">
        <v>240</v>
      </c>
      <c r="AH22" s="59" t="s">
        <v>1886</v>
      </c>
      <c r="AI22" s="59" t="s">
        <v>240</v>
      </c>
      <c r="AJ22" s="59" t="s">
        <v>240</v>
      </c>
      <c r="AK22" s="59" t="s">
        <v>240</v>
      </c>
      <c r="AL22" s="59" t="s">
        <v>240</v>
      </c>
      <c r="AM22" s="59">
        <v>145</v>
      </c>
      <c r="AN22" s="59" t="s">
        <v>1446</v>
      </c>
    </row>
    <row r="23" spans="1:40" x14ac:dyDescent="0.2">
      <c r="A23" s="59">
        <v>319</v>
      </c>
      <c r="B23" s="59">
        <v>255</v>
      </c>
      <c r="C23" s="59" t="s">
        <v>1316</v>
      </c>
      <c r="D23" s="59" t="s">
        <v>1316</v>
      </c>
      <c r="E23" s="59" t="s">
        <v>871</v>
      </c>
      <c r="F23" s="59" t="s">
        <v>1540</v>
      </c>
      <c r="G23" s="59" t="s">
        <v>1943</v>
      </c>
      <c r="H23" s="59" t="s">
        <v>1316</v>
      </c>
      <c r="I23" s="59">
        <v>289</v>
      </c>
      <c r="J23" s="59">
        <v>255</v>
      </c>
      <c r="K23" s="59" t="s">
        <v>1540</v>
      </c>
      <c r="L23" s="59" t="s">
        <v>1270</v>
      </c>
      <c r="M23" s="59" t="s">
        <v>1888</v>
      </c>
      <c r="N23" s="59" t="s">
        <v>1888</v>
      </c>
      <c r="O23" s="59" t="s">
        <v>1888</v>
      </c>
      <c r="P23" s="59" t="b">
        <f>List129[[#This Row],[Income2018]]=List129[[#This Row],[Income]]</f>
        <v>1</v>
      </c>
      <c r="Q23" s="59" t="s">
        <v>1944</v>
      </c>
      <c r="R23" s="59" t="s">
        <v>1886</v>
      </c>
      <c r="S23" s="59" t="s">
        <v>1540</v>
      </c>
      <c r="T23" s="59" t="s">
        <v>1886</v>
      </c>
      <c r="U23" s="59" t="s">
        <v>240</v>
      </c>
      <c r="V23" s="59" t="s">
        <v>1886</v>
      </c>
      <c r="W23" s="60" t="s">
        <v>1886</v>
      </c>
      <c r="X23" s="60" t="s">
        <v>1886</v>
      </c>
      <c r="Y23" s="60">
        <v>1</v>
      </c>
      <c r="Z23" s="61">
        <f>IF(OR(List129[[#This Row],[Fragile 2018]]=1,List129[[#This Row],[Income]]="LDC"),1,"")</f>
        <v>1</v>
      </c>
      <c r="AA23" s="59" t="s">
        <v>1886</v>
      </c>
      <c r="AB23" s="59" t="s">
        <v>1886</v>
      </c>
      <c r="AC23" s="59" t="s">
        <v>1886</v>
      </c>
      <c r="AD23" s="59" t="s">
        <v>1925</v>
      </c>
      <c r="AE23" s="59" t="s">
        <v>240</v>
      </c>
      <c r="AF23" s="59" t="s">
        <v>1886</v>
      </c>
      <c r="AG23" s="59" t="s">
        <v>240</v>
      </c>
      <c r="AH23" s="59" t="s">
        <v>1886</v>
      </c>
      <c r="AI23" s="59" t="s">
        <v>240</v>
      </c>
      <c r="AJ23" s="59" t="s">
        <v>240</v>
      </c>
      <c r="AK23" s="59" t="s">
        <v>240</v>
      </c>
      <c r="AL23" s="59" t="s">
        <v>240</v>
      </c>
      <c r="AM23" s="59">
        <v>152</v>
      </c>
      <c r="AN23" s="59" t="s">
        <v>1316</v>
      </c>
    </row>
    <row r="24" spans="1:40" x14ac:dyDescent="0.2">
      <c r="A24" s="59">
        <v>202</v>
      </c>
      <c r="B24" s="59">
        <v>728</v>
      </c>
      <c r="C24" s="59" t="s">
        <v>1357</v>
      </c>
      <c r="D24" s="59" t="s">
        <v>1358</v>
      </c>
      <c r="E24" s="59" t="s">
        <v>901</v>
      </c>
      <c r="F24" s="59" t="s">
        <v>1359</v>
      </c>
      <c r="G24" s="59" t="s">
        <v>1945</v>
      </c>
      <c r="H24" s="59" t="s">
        <v>1357</v>
      </c>
      <c r="I24" s="59">
        <v>798</v>
      </c>
      <c r="J24" s="59">
        <v>728</v>
      </c>
      <c r="K24" s="59" t="s">
        <v>1946</v>
      </c>
      <c r="L24" s="59" t="s">
        <v>1253</v>
      </c>
      <c r="M24" s="59" t="s">
        <v>1888</v>
      </c>
      <c r="N24" s="59" t="s">
        <v>1888</v>
      </c>
      <c r="O24" s="59" t="s">
        <v>1888</v>
      </c>
      <c r="P24" s="59" t="b">
        <f>List129[[#This Row],[Income2018]]=List129[[#This Row],[Income]]</f>
        <v>1</v>
      </c>
      <c r="Q24" s="59" t="s">
        <v>1947</v>
      </c>
      <c r="R24" s="59" t="s">
        <v>240</v>
      </c>
      <c r="T24" s="59" t="s">
        <v>1886</v>
      </c>
      <c r="U24" s="59" t="s">
        <v>240</v>
      </c>
      <c r="V24" s="59" t="s">
        <v>240</v>
      </c>
      <c r="W24" s="59" t="s">
        <v>240</v>
      </c>
      <c r="X24" s="59" t="s">
        <v>240</v>
      </c>
      <c r="Y24" s="59" t="s">
        <v>240</v>
      </c>
      <c r="Z24" s="61">
        <f>IF(OR(List129[[#This Row],[Fragile 2018]]=1,List129[[#This Row],[Income]]="LDC"),1,"")</f>
        <v>1</v>
      </c>
      <c r="AA24" s="59" t="s">
        <v>240</v>
      </c>
      <c r="AB24" s="59" t="s">
        <v>1886</v>
      </c>
      <c r="AC24" s="59" t="s">
        <v>240</v>
      </c>
      <c r="AD24" s="59" t="s">
        <v>240</v>
      </c>
      <c r="AE24" s="59" t="s">
        <v>240</v>
      </c>
      <c r="AF24" s="59" t="s">
        <v>240</v>
      </c>
      <c r="AG24" s="59" t="s">
        <v>240</v>
      </c>
      <c r="AH24" s="59" t="s">
        <v>240</v>
      </c>
      <c r="AI24" s="59" t="s">
        <v>240</v>
      </c>
      <c r="AJ24" s="59" t="s">
        <v>1886</v>
      </c>
      <c r="AK24" s="59" t="s">
        <v>240</v>
      </c>
      <c r="AL24" s="59" t="s">
        <v>240</v>
      </c>
      <c r="AM24" s="59">
        <v>262</v>
      </c>
      <c r="AN24" s="59" t="s">
        <v>1357</v>
      </c>
    </row>
    <row r="25" spans="1:40" x14ac:dyDescent="0.2">
      <c r="A25" s="59">
        <v>305</v>
      </c>
      <c r="B25" s="59">
        <v>231</v>
      </c>
      <c r="C25" s="59" t="s">
        <v>1363</v>
      </c>
      <c r="D25" s="59" t="s">
        <v>1364</v>
      </c>
      <c r="E25" s="59" t="s">
        <v>1362</v>
      </c>
      <c r="F25" s="59" t="s">
        <v>1365</v>
      </c>
      <c r="G25" s="59" t="s">
        <v>1948</v>
      </c>
      <c r="I25" s="59">
        <v>289</v>
      </c>
      <c r="J25" s="59">
        <v>231</v>
      </c>
      <c r="K25" s="59" t="s">
        <v>1764</v>
      </c>
      <c r="L25" s="59" t="s">
        <v>1270</v>
      </c>
      <c r="M25" s="59" t="s">
        <v>1888</v>
      </c>
      <c r="N25" s="59" t="s">
        <v>1888</v>
      </c>
      <c r="O25" s="59" t="s">
        <v>1888</v>
      </c>
      <c r="P25" s="59" t="b">
        <f>List129[[#This Row],[Income2018]]=List129[[#This Row],[Income]]</f>
        <v>1</v>
      </c>
      <c r="Q25" s="59" t="s">
        <v>1949</v>
      </c>
      <c r="R25" s="59" t="s">
        <v>240</v>
      </c>
      <c r="T25" s="59" t="s">
        <v>1886</v>
      </c>
      <c r="U25" s="59" t="s">
        <v>240</v>
      </c>
      <c r="V25" s="59" t="s">
        <v>1886</v>
      </c>
      <c r="W25" s="60" t="s">
        <v>1886</v>
      </c>
      <c r="X25" s="60" t="s">
        <v>1886</v>
      </c>
      <c r="Y25" s="60">
        <v>1</v>
      </c>
      <c r="Z25" s="61">
        <f>IF(OR(List129[[#This Row],[Fragile 2018]]=1,List129[[#This Row],[Income]]="LDC"),1,"")</f>
        <v>1</v>
      </c>
      <c r="AA25" s="59" t="s">
        <v>1886</v>
      </c>
      <c r="AB25" s="59" t="s">
        <v>1886</v>
      </c>
      <c r="AC25" s="59" t="s">
        <v>1886</v>
      </c>
      <c r="AD25" s="59" t="s">
        <v>240</v>
      </c>
      <c r="AE25" s="59" t="s">
        <v>240</v>
      </c>
      <c r="AF25" s="59" t="s">
        <v>1886</v>
      </c>
      <c r="AG25" s="59" t="s">
        <v>240</v>
      </c>
      <c r="AH25" s="59" t="s">
        <v>1886</v>
      </c>
      <c r="AI25" s="59" t="s">
        <v>240</v>
      </c>
      <c r="AJ25" s="59" t="s">
        <v>240</v>
      </c>
      <c r="AK25" s="59" t="s">
        <v>240</v>
      </c>
      <c r="AL25" s="59" t="s">
        <v>240</v>
      </c>
      <c r="AM25" s="59">
        <v>132</v>
      </c>
      <c r="AN25" s="59" t="s">
        <v>1363</v>
      </c>
    </row>
    <row r="26" spans="1:40" x14ac:dyDescent="0.2">
      <c r="A26" s="59">
        <v>514</v>
      </c>
      <c r="B26" s="59">
        <v>434</v>
      </c>
      <c r="C26" s="59" t="s">
        <v>1369</v>
      </c>
      <c r="D26" s="59" t="s">
        <v>1369</v>
      </c>
      <c r="E26" s="59" t="s">
        <v>1368</v>
      </c>
      <c r="F26" s="59" t="s">
        <v>1370</v>
      </c>
      <c r="G26" s="59" t="s">
        <v>1950</v>
      </c>
      <c r="I26" s="59">
        <v>498</v>
      </c>
      <c r="J26" s="59">
        <v>434</v>
      </c>
      <c r="K26" s="59" t="s">
        <v>1951</v>
      </c>
      <c r="L26" s="59" t="s">
        <v>1276</v>
      </c>
      <c r="M26" s="59" t="s">
        <v>1892</v>
      </c>
      <c r="O26" s="59" t="s">
        <v>1901</v>
      </c>
      <c r="P26" s="59" t="b">
        <f>List129[[#This Row],[Income2018]]=List129[[#This Row],[Income]]</f>
        <v>0</v>
      </c>
      <c r="Q26" s="59" t="s">
        <v>1952</v>
      </c>
      <c r="R26" s="59" t="s">
        <v>240</v>
      </c>
      <c r="T26" s="59" t="s">
        <v>240</v>
      </c>
      <c r="U26" s="59" t="s">
        <v>240</v>
      </c>
      <c r="V26" s="59" t="s">
        <v>240</v>
      </c>
      <c r="W26" s="60" t="s">
        <v>240</v>
      </c>
      <c r="X26" s="60" t="s">
        <v>240</v>
      </c>
      <c r="Y26" s="60" t="s">
        <v>240</v>
      </c>
      <c r="Z26" s="61" t="str">
        <f>IF(OR(List129[[#This Row],[Fragile 2018]]=1,List129[[#This Row],[Income]]="LDC"),1,"")</f>
        <v/>
      </c>
      <c r="AA26" s="59" t="s">
        <v>240</v>
      </c>
      <c r="AB26" s="59" t="s">
        <v>1886</v>
      </c>
      <c r="AC26" s="59" t="s">
        <v>240</v>
      </c>
      <c r="AD26" s="59" t="s">
        <v>240</v>
      </c>
      <c r="AE26" s="59" t="s">
        <v>240</v>
      </c>
      <c r="AF26" s="59" t="s">
        <v>240</v>
      </c>
      <c r="AG26" s="59" t="s">
        <v>240</v>
      </c>
      <c r="AH26" s="59" t="s">
        <v>240</v>
      </c>
      <c r="AI26" s="59" t="s">
        <v>1886</v>
      </c>
      <c r="AJ26" s="59" t="s">
        <v>240</v>
      </c>
      <c r="AK26" s="59" t="s">
        <v>240</v>
      </c>
      <c r="AL26" s="59" t="s">
        <v>240</v>
      </c>
      <c r="AM26" s="59">
        <v>212</v>
      </c>
      <c r="AN26" s="59" t="s">
        <v>1369</v>
      </c>
    </row>
    <row r="27" spans="1:40" x14ac:dyDescent="0.2">
      <c r="A27" s="59">
        <v>218</v>
      </c>
      <c r="B27" s="59">
        <v>730</v>
      </c>
      <c r="C27" s="59" t="s">
        <v>1373</v>
      </c>
      <c r="D27" s="59" t="s">
        <v>1374</v>
      </c>
      <c r="E27" s="59" t="s">
        <v>1372</v>
      </c>
      <c r="F27" s="59" t="s">
        <v>1375</v>
      </c>
      <c r="G27" s="59" t="s">
        <v>1953</v>
      </c>
      <c r="H27" s="59" t="s">
        <v>1373</v>
      </c>
      <c r="I27" s="59">
        <v>798</v>
      </c>
      <c r="J27" s="59">
        <v>730</v>
      </c>
      <c r="K27" s="59" t="s">
        <v>1954</v>
      </c>
      <c r="L27" s="59" t="s">
        <v>1253</v>
      </c>
      <c r="M27" s="59" t="s">
        <v>1891</v>
      </c>
      <c r="N27" s="59" t="s">
        <v>1892</v>
      </c>
      <c r="O27" s="59" t="s">
        <v>1892</v>
      </c>
      <c r="P27" s="59" t="b">
        <f>List129[[#This Row],[Income2018]]=List129[[#This Row],[Income]]</f>
        <v>0</v>
      </c>
      <c r="Q27" s="59" t="s">
        <v>1955</v>
      </c>
      <c r="R27" s="59" t="s">
        <v>240</v>
      </c>
      <c r="T27" s="59" t="s">
        <v>240</v>
      </c>
      <c r="U27" s="59" t="s">
        <v>240</v>
      </c>
      <c r="V27" s="59" t="s">
        <v>240</v>
      </c>
      <c r="W27" s="60" t="s">
        <v>240</v>
      </c>
      <c r="X27" s="60" t="s">
        <v>240</v>
      </c>
      <c r="Y27" s="60" t="s">
        <v>240</v>
      </c>
      <c r="Z27" s="61" t="str">
        <f>IF(OR(List129[[#This Row],[Fragile 2018]]=1,List129[[#This Row],[Income]]="LDC"),1,"")</f>
        <v/>
      </c>
      <c r="AA27" s="59" t="s">
        <v>240</v>
      </c>
      <c r="AB27" s="59" t="s">
        <v>1886</v>
      </c>
      <c r="AC27" s="59" t="s">
        <v>240</v>
      </c>
      <c r="AD27" s="59" t="s">
        <v>240</v>
      </c>
      <c r="AE27" s="59" t="s">
        <v>240</v>
      </c>
      <c r="AF27" s="59" t="s">
        <v>240</v>
      </c>
      <c r="AG27" s="59" t="s">
        <v>240</v>
      </c>
      <c r="AH27" s="59" t="s">
        <v>240</v>
      </c>
      <c r="AI27" s="59" t="s">
        <v>240</v>
      </c>
      <c r="AJ27" s="59" t="s">
        <v>1886</v>
      </c>
      <c r="AK27" s="59" t="s">
        <v>240</v>
      </c>
      <c r="AL27" s="59" t="s">
        <v>240</v>
      </c>
      <c r="AM27" s="59">
        <v>263</v>
      </c>
      <c r="AN27" s="59" t="s">
        <v>1373</v>
      </c>
    </row>
    <row r="28" spans="1:40" x14ac:dyDescent="0.2">
      <c r="A28" s="59">
        <v>515</v>
      </c>
      <c r="B28" s="59">
        <v>437</v>
      </c>
      <c r="C28" s="59" t="s">
        <v>1376</v>
      </c>
      <c r="D28" s="59" t="s">
        <v>1377</v>
      </c>
      <c r="E28" s="59" t="s">
        <v>1376</v>
      </c>
      <c r="F28" s="59" t="s">
        <v>1378</v>
      </c>
      <c r="G28" s="59" t="s">
        <v>1956</v>
      </c>
      <c r="H28" s="59" t="s">
        <v>1376</v>
      </c>
      <c r="I28" s="59">
        <v>498</v>
      </c>
      <c r="J28" s="59">
        <v>437</v>
      </c>
      <c r="K28" s="59" t="s">
        <v>1378</v>
      </c>
      <c r="L28" s="59" t="s">
        <v>1276</v>
      </c>
      <c r="M28" s="59" t="s">
        <v>1891</v>
      </c>
      <c r="N28" s="59" t="s">
        <v>1892</v>
      </c>
      <c r="O28" s="59" t="s">
        <v>1892</v>
      </c>
      <c r="P28" s="59" t="b">
        <f>List129[[#This Row],[Income2018]]=List129[[#This Row],[Income]]</f>
        <v>0</v>
      </c>
      <c r="Q28" s="59" t="s">
        <v>1957</v>
      </c>
      <c r="R28" s="59" t="s">
        <v>240</v>
      </c>
      <c r="T28" s="59" t="s">
        <v>240</v>
      </c>
      <c r="U28" s="59" t="s">
        <v>240</v>
      </c>
      <c r="V28" s="59" t="s">
        <v>240</v>
      </c>
      <c r="W28" s="60" t="s">
        <v>240</v>
      </c>
      <c r="X28" s="60" t="s">
        <v>240</v>
      </c>
      <c r="Y28" s="60" t="s">
        <v>240</v>
      </c>
      <c r="Z28" s="61" t="str">
        <f>IF(OR(List129[[#This Row],[Fragile 2018]]=1,List129[[#This Row],[Income]]="LDC"),1,"")</f>
        <v/>
      </c>
      <c r="AA28" s="59" t="s">
        <v>240</v>
      </c>
      <c r="AB28" s="59" t="s">
        <v>1886</v>
      </c>
      <c r="AC28" s="59" t="s">
        <v>240</v>
      </c>
      <c r="AD28" s="59" t="s">
        <v>240</v>
      </c>
      <c r="AE28" s="59" t="s">
        <v>240</v>
      </c>
      <c r="AF28" s="59" t="s">
        <v>240</v>
      </c>
      <c r="AG28" s="59" t="s">
        <v>240</v>
      </c>
      <c r="AH28" s="59" t="s">
        <v>240</v>
      </c>
      <c r="AI28" s="59" t="s">
        <v>1886</v>
      </c>
      <c r="AJ28" s="59" t="s">
        <v>240</v>
      </c>
      <c r="AK28" s="59" t="s">
        <v>240</v>
      </c>
      <c r="AL28" s="59" t="s">
        <v>240</v>
      </c>
      <c r="AM28" s="59">
        <v>213</v>
      </c>
      <c r="AN28" s="59" t="s">
        <v>1376</v>
      </c>
    </row>
    <row r="29" spans="1:40" x14ac:dyDescent="0.2">
      <c r="A29" s="59">
        <v>343</v>
      </c>
      <c r="B29" s="59">
        <v>233</v>
      </c>
      <c r="C29" s="59" t="s">
        <v>1380</v>
      </c>
      <c r="D29" s="59" t="s">
        <v>1381</v>
      </c>
      <c r="E29" s="59" t="s">
        <v>1379</v>
      </c>
      <c r="F29" s="59" t="s">
        <v>1382</v>
      </c>
      <c r="G29" s="59" t="s">
        <v>1958</v>
      </c>
      <c r="I29" s="59">
        <v>289</v>
      </c>
      <c r="J29" s="59">
        <v>233</v>
      </c>
      <c r="K29" s="59" t="s">
        <v>1382</v>
      </c>
      <c r="L29" s="59" t="s">
        <v>1270</v>
      </c>
      <c r="M29" s="59" t="s">
        <v>1888</v>
      </c>
      <c r="N29" s="59" t="s">
        <v>1888</v>
      </c>
      <c r="O29" s="59" t="s">
        <v>1888</v>
      </c>
      <c r="P29" s="59" t="b">
        <f>List129[[#This Row],[Income2018]]=List129[[#This Row],[Income]]</f>
        <v>1</v>
      </c>
      <c r="Q29" s="59" t="s">
        <v>1959</v>
      </c>
      <c r="R29" s="59" t="s">
        <v>240</v>
      </c>
      <c r="T29" s="59" t="s">
        <v>1886</v>
      </c>
      <c r="U29" s="59" t="s">
        <v>1886</v>
      </c>
      <c r="V29" s="59" t="s">
        <v>240</v>
      </c>
      <c r="W29" s="60" t="s">
        <v>1886</v>
      </c>
      <c r="X29" s="60" t="s">
        <v>1886</v>
      </c>
      <c r="Y29" s="60">
        <v>1</v>
      </c>
      <c r="Z29" s="61">
        <f>IF(OR(List129[[#This Row],[Fragile 2018]]=1,List129[[#This Row],[Income]]="LDC"),1,"")</f>
        <v>1</v>
      </c>
      <c r="AA29" s="59" t="s">
        <v>1886</v>
      </c>
      <c r="AB29" s="59" t="s">
        <v>1886</v>
      </c>
      <c r="AC29" s="59" t="s">
        <v>1886</v>
      </c>
      <c r="AD29" s="59" t="s">
        <v>240</v>
      </c>
      <c r="AE29" s="59" t="s">
        <v>240</v>
      </c>
      <c r="AF29" s="59" t="s">
        <v>1886</v>
      </c>
      <c r="AG29" s="59" t="s">
        <v>240</v>
      </c>
      <c r="AH29" s="59" t="s">
        <v>1886</v>
      </c>
      <c r="AI29" s="59" t="s">
        <v>240</v>
      </c>
      <c r="AJ29" s="59" t="s">
        <v>240</v>
      </c>
      <c r="AK29" s="59" t="s">
        <v>240</v>
      </c>
      <c r="AL29" s="59" t="s">
        <v>240</v>
      </c>
      <c r="AM29" s="59">
        <v>134</v>
      </c>
      <c r="AN29" s="59" t="s">
        <v>1380</v>
      </c>
    </row>
    <row r="30" spans="1:40" x14ac:dyDescent="0.2">
      <c r="A30" s="59">
        <v>354</v>
      </c>
      <c r="B30" s="59">
        <v>136</v>
      </c>
      <c r="C30" s="59" t="s">
        <v>1541</v>
      </c>
      <c r="D30" s="59" t="s">
        <v>1321</v>
      </c>
      <c r="E30" s="59" t="s">
        <v>1322</v>
      </c>
      <c r="F30" s="59" t="s">
        <v>1542</v>
      </c>
      <c r="G30" s="59" t="s">
        <v>1960</v>
      </c>
      <c r="H30" s="59" t="s">
        <v>1541</v>
      </c>
      <c r="I30" s="59">
        <v>189</v>
      </c>
      <c r="J30" s="59">
        <v>136</v>
      </c>
      <c r="K30" s="59" t="s">
        <v>1961</v>
      </c>
      <c r="L30" s="59" t="s">
        <v>1265</v>
      </c>
      <c r="M30" s="59" t="s">
        <v>1891</v>
      </c>
      <c r="N30" s="59" t="s">
        <v>1891</v>
      </c>
      <c r="O30" s="59" t="s">
        <v>1891</v>
      </c>
      <c r="P30" s="59" t="b">
        <f>List129[[#This Row],[Income2018]]=List129[[#This Row],[Income]]</f>
        <v>1</v>
      </c>
      <c r="Q30" s="59" t="s">
        <v>1962</v>
      </c>
      <c r="R30" s="59" t="s">
        <v>1886</v>
      </c>
      <c r="S30" s="59" t="s">
        <v>1542</v>
      </c>
      <c r="T30" s="59" t="s">
        <v>240</v>
      </c>
      <c r="U30" s="59" t="s">
        <v>240</v>
      </c>
      <c r="V30" s="59" t="s">
        <v>240</v>
      </c>
      <c r="W30" s="60" t="s">
        <v>240</v>
      </c>
      <c r="X30" s="60" t="s">
        <v>240</v>
      </c>
      <c r="Y30" s="60" t="s">
        <v>240</v>
      </c>
      <c r="Z30" s="61" t="str">
        <f>IF(OR(List129[[#This Row],[Fragile 2018]]=1,List129[[#This Row],[Income]]="LDC"),1,"")</f>
        <v/>
      </c>
      <c r="AA30" s="59" t="s">
        <v>240</v>
      </c>
      <c r="AB30" s="59" t="s">
        <v>1886</v>
      </c>
      <c r="AC30" s="59" t="s">
        <v>240</v>
      </c>
      <c r="AD30" s="59" t="s">
        <v>240</v>
      </c>
      <c r="AE30" s="59" t="s">
        <v>240</v>
      </c>
      <c r="AF30" s="59" t="s">
        <v>1886</v>
      </c>
      <c r="AG30" s="59" t="s">
        <v>1886</v>
      </c>
      <c r="AH30" s="59" t="s">
        <v>240</v>
      </c>
      <c r="AI30" s="59" t="s">
        <v>240</v>
      </c>
      <c r="AJ30" s="59" t="s">
        <v>240</v>
      </c>
      <c r="AK30" s="59" t="s">
        <v>240</v>
      </c>
      <c r="AL30" s="59" t="s">
        <v>240</v>
      </c>
      <c r="AM30" s="59">
        <v>120</v>
      </c>
      <c r="AN30" s="59" t="s">
        <v>1541</v>
      </c>
    </row>
    <row r="31" spans="1:40" x14ac:dyDescent="0.2">
      <c r="A31" s="59">
        <v>307</v>
      </c>
      <c r="B31" s="59">
        <v>234</v>
      </c>
      <c r="C31" s="59" t="s">
        <v>1387</v>
      </c>
      <c r="D31" s="59" t="s">
        <v>1388</v>
      </c>
      <c r="E31" s="59" t="s">
        <v>1386</v>
      </c>
      <c r="F31" s="59" t="s">
        <v>1389</v>
      </c>
      <c r="G31" s="59" t="s">
        <v>1963</v>
      </c>
      <c r="I31" s="59">
        <v>289</v>
      </c>
      <c r="J31" s="59">
        <v>234</v>
      </c>
      <c r="K31" s="59" t="s">
        <v>1964</v>
      </c>
      <c r="L31" s="59" t="s">
        <v>1270</v>
      </c>
      <c r="M31" s="59" t="s">
        <v>1891</v>
      </c>
      <c r="N31" s="59" t="s">
        <v>1891</v>
      </c>
      <c r="O31" s="59" t="s">
        <v>1891</v>
      </c>
      <c r="P31" s="59" t="b">
        <f>List129[[#This Row],[Income2018]]=List129[[#This Row],[Income]]</f>
        <v>1</v>
      </c>
      <c r="Q31" s="59" t="s">
        <v>1965</v>
      </c>
      <c r="R31" s="59" t="s">
        <v>240</v>
      </c>
      <c r="T31" s="59" t="s">
        <v>240</v>
      </c>
      <c r="U31" s="59" t="s">
        <v>240</v>
      </c>
      <c r="V31" s="59" t="s">
        <v>240</v>
      </c>
      <c r="W31" s="60" t="s">
        <v>1886</v>
      </c>
      <c r="X31" s="60" t="s">
        <v>1886</v>
      </c>
      <c r="Y31" s="60">
        <v>1</v>
      </c>
      <c r="Z31" s="61">
        <f>IF(OR(List129[[#This Row],[Fragile 2018]]=1,List129[[#This Row],[Income]]="LDC"),1,"")</f>
        <v>1</v>
      </c>
      <c r="AA31" s="59" t="s">
        <v>1886</v>
      </c>
      <c r="AB31" s="59" t="s">
        <v>1886</v>
      </c>
      <c r="AC31" s="59" t="s">
        <v>1886</v>
      </c>
      <c r="AD31" s="59" t="s">
        <v>240</v>
      </c>
      <c r="AE31" s="59" t="s">
        <v>240</v>
      </c>
      <c r="AF31" s="59" t="s">
        <v>1886</v>
      </c>
      <c r="AG31" s="59" t="s">
        <v>240</v>
      </c>
      <c r="AH31" s="59" t="s">
        <v>1886</v>
      </c>
      <c r="AI31" s="59" t="s">
        <v>240</v>
      </c>
      <c r="AJ31" s="59" t="s">
        <v>240</v>
      </c>
      <c r="AK31" s="59" t="s">
        <v>240</v>
      </c>
      <c r="AL31" s="59" t="s">
        <v>240</v>
      </c>
      <c r="AM31" s="59">
        <v>136</v>
      </c>
      <c r="AN31" s="59" t="s">
        <v>1387</v>
      </c>
    </row>
    <row r="32" spans="1:40" x14ac:dyDescent="0.2">
      <c r="A32" s="59">
        <v>939</v>
      </c>
      <c r="B32" s="59">
        <v>298</v>
      </c>
      <c r="C32" s="59" t="s">
        <v>1760</v>
      </c>
      <c r="D32" s="59" t="s">
        <v>1761</v>
      </c>
      <c r="E32" s="59" t="s">
        <v>1762</v>
      </c>
      <c r="F32" s="59" t="s">
        <v>1763</v>
      </c>
      <c r="I32" s="59">
        <v>298</v>
      </c>
      <c r="J32" s="59">
        <v>298</v>
      </c>
      <c r="K32" s="59" t="s">
        <v>1966</v>
      </c>
      <c r="L32" s="59" t="s">
        <v>1765</v>
      </c>
      <c r="M32" s="59" t="s">
        <v>1967</v>
      </c>
      <c r="O32" s="59" t="s">
        <v>1884</v>
      </c>
      <c r="P32" s="59" t="b">
        <f>List129[[#This Row],[Income2018]]=List129[[#This Row],[Income]]</f>
        <v>0</v>
      </c>
      <c r="Q32" s="59" t="s">
        <v>1968</v>
      </c>
      <c r="R32" s="59" t="s">
        <v>240</v>
      </c>
      <c r="T32" s="59" t="s">
        <v>240</v>
      </c>
      <c r="U32" s="59" t="s">
        <v>240</v>
      </c>
      <c r="V32" s="59" t="s">
        <v>240</v>
      </c>
      <c r="W32" s="60" t="s">
        <v>240</v>
      </c>
      <c r="X32" s="60" t="s">
        <v>240</v>
      </c>
      <c r="Y32" s="60" t="s">
        <v>240</v>
      </c>
      <c r="Z32" s="61" t="str">
        <f>IF(OR(List129[[#This Row],[Fragile 2018]]=1,List129[[#This Row],[Income]]="LDC"),1,"")</f>
        <v/>
      </c>
      <c r="AA32" s="59" t="s">
        <v>240</v>
      </c>
      <c r="AB32" s="59" t="s">
        <v>1886</v>
      </c>
      <c r="AC32" s="59" t="s">
        <v>240</v>
      </c>
      <c r="AD32" s="59" t="s">
        <v>240</v>
      </c>
      <c r="AE32" s="59" t="s">
        <v>240</v>
      </c>
      <c r="AF32" s="59" t="s">
        <v>1886</v>
      </c>
      <c r="AG32" s="59" t="s">
        <v>240</v>
      </c>
      <c r="AH32" s="59" t="s">
        <v>240</v>
      </c>
      <c r="AI32" s="59" t="s">
        <v>240</v>
      </c>
      <c r="AJ32" s="59" t="s">
        <v>240</v>
      </c>
      <c r="AK32" s="59" t="s">
        <v>240</v>
      </c>
      <c r="AL32" s="59" t="s">
        <v>240</v>
      </c>
      <c r="AM32" s="59">
        <v>177</v>
      </c>
      <c r="AN32" s="59" t="s">
        <v>1760</v>
      </c>
    </row>
    <row r="33" spans="1:40" x14ac:dyDescent="0.2">
      <c r="A33" s="59">
        <v>959</v>
      </c>
      <c r="B33" s="59">
        <v>498</v>
      </c>
      <c r="C33" s="59" t="s">
        <v>1797</v>
      </c>
      <c r="D33" s="59" t="s">
        <v>1798</v>
      </c>
      <c r="E33" s="59" t="s">
        <v>1799</v>
      </c>
      <c r="F33" s="59" t="s">
        <v>1800</v>
      </c>
      <c r="I33" s="59">
        <v>498</v>
      </c>
      <c r="J33" s="59">
        <v>498</v>
      </c>
      <c r="K33" s="59" t="s">
        <v>1969</v>
      </c>
      <c r="L33" s="59" t="s">
        <v>1276</v>
      </c>
      <c r="M33" s="59" t="s">
        <v>1891</v>
      </c>
      <c r="O33" s="59" t="s">
        <v>1884</v>
      </c>
      <c r="P33" s="59" t="b">
        <f>List129[[#This Row],[Income2018]]=List129[[#This Row],[Income]]</f>
        <v>0</v>
      </c>
      <c r="Q33" s="59" t="s">
        <v>1970</v>
      </c>
      <c r="R33" s="59" t="s">
        <v>240</v>
      </c>
      <c r="T33" s="59" t="s">
        <v>240</v>
      </c>
      <c r="U33" s="59" t="s">
        <v>240</v>
      </c>
      <c r="V33" s="59" t="s">
        <v>240</v>
      </c>
      <c r="W33" s="60" t="s">
        <v>240</v>
      </c>
      <c r="X33" s="60" t="s">
        <v>240</v>
      </c>
      <c r="Y33" s="60" t="s">
        <v>240</v>
      </c>
      <c r="Z33" s="61" t="str">
        <f>IF(OR(List129[[#This Row],[Fragile 2018]]=1,List129[[#This Row],[Income]]="LDC"),1,"")</f>
        <v/>
      </c>
      <c r="AA33" s="59" t="s">
        <v>240</v>
      </c>
      <c r="AB33" s="59" t="s">
        <v>1886</v>
      </c>
      <c r="AC33" s="59" t="s">
        <v>240</v>
      </c>
      <c r="AD33" s="59" t="s">
        <v>240</v>
      </c>
      <c r="AE33" s="59" t="s">
        <v>240</v>
      </c>
      <c r="AF33" s="59" t="s">
        <v>240</v>
      </c>
      <c r="AG33" s="59" t="s">
        <v>240</v>
      </c>
      <c r="AH33" s="59" t="s">
        <v>240</v>
      </c>
      <c r="AI33" s="59" t="s">
        <v>1886</v>
      </c>
      <c r="AJ33" s="59" t="s">
        <v>240</v>
      </c>
      <c r="AK33" s="59" t="s">
        <v>240</v>
      </c>
      <c r="AL33" s="59" t="s">
        <v>240</v>
      </c>
      <c r="AM33" s="59">
        <v>223</v>
      </c>
      <c r="AN33" s="59" t="s">
        <v>1797</v>
      </c>
    </row>
    <row r="34" spans="1:40" x14ac:dyDescent="0.2">
      <c r="A34" s="59">
        <v>929</v>
      </c>
      <c r="B34" s="59">
        <v>798</v>
      </c>
      <c r="C34" s="59" t="s">
        <v>1818</v>
      </c>
      <c r="D34" s="59" t="s">
        <v>1819</v>
      </c>
      <c r="E34" s="59" t="s">
        <v>1820</v>
      </c>
      <c r="F34" s="59" t="s">
        <v>1815</v>
      </c>
      <c r="I34" s="59">
        <v>798</v>
      </c>
      <c r="J34" s="59">
        <v>798</v>
      </c>
      <c r="K34" s="59" t="s">
        <v>1971</v>
      </c>
      <c r="L34" s="59" t="s">
        <v>1253</v>
      </c>
      <c r="M34" s="59" t="s">
        <v>1891</v>
      </c>
      <c r="O34" s="59" t="s">
        <v>1884</v>
      </c>
      <c r="P34" s="59" t="b">
        <f>List129[[#This Row],[Income2018]]=List129[[#This Row],[Income]]</f>
        <v>0</v>
      </c>
      <c r="Q34" s="59" t="s">
        <v>1972</v>
      </c>
      <c r="R34" s="59" t="s">
        <v>240</v>
      </c>
      <c r="T34" s="59" t="s">
        <v>240</v>
      </c>
      <c r="U34" s="59" t="s">
        <v>240</v>
      </c>
      <c r="V34" s="59" t="s">
        <v>240</v>
      </c>
      <c r="W34" s="60" t="s">
        <v>240</v>
      </c>
      <c r="X34" s="60" t="s">
        <v>240</v>
      </c>
      <c r="Y34" s="60" t="s">
        <v>240</v>
      </c>
      <c r="Z34" s="61" t="str">
        <f>IF(OR(List129[[#This Row],[Fragile 2018]]=1,List129[[#This Row],[Income]]="LDC"),1,"")</f>
        <v/>
      </c>
      <c r="AA34" s="59" t="s">
        <v>240</v>
      </c>
      <c r="AB34" s="59" t="s">
        <v>1886</v>
      </c>
      <c r="AC34" s="59" t="s">
        <v>240</v>
      </c>
      <c r="AD34" s="59" t="s">
        <v>240</v>
      </c>
      <c r="AE34" s="59" t="s">
        <v>240</v>
      </c>
      <c r="AF34" s="59" t="s">
        <v>240</v>
      </c>
      <c r="AG34" s="59" t="s">
        <v>240</v>
      </c>
      <c r="AH34" s="59" t="s">
        <v>240</v>
      </c>
      <c r="AI34" s="59" t="s">
        <v>240</v>
      </c>
      <c r="AJ34" s="59" t="s">
        <v>1886</v>
      </c>
      <c r="AK34" s="59" t="s">
        <v>240</v>
      </c>
      <c r="AL34" s="59" t="s">
        <v>240</v>
      </c>
      <c r="AM34" s="59">
        <v>275</v>
      </c>
      <c r="AN34" s="59" t="s">
        <v>1818</v>
      </c>
    </row>
    <row r="35" spans="1:40" x14ac:dyDescent="0.2">
      <c r="A35" s="59">
        <v>969</v>
      </c>
      <c r="B35" s="59">
        <v>889</v>
      </c>
      <c r="C35" s="59" t="s">
        <v>1847</v>
      </c>
      <c r="D35" s="59" t="s">
        <v>1848</v>
      </c>
      <c r="E35" s="59" t="s">
        <v>1849</v>
      </c>
      <c r="F35" s="59" t="s">
        <v>1850</v>
      </c>
      <c r="I35" s="59">
        <v>889</v>
      </c>
      <c r="J35" s="59">
        <v>889</v>
      </c>
      <c r="K35" s="59" t="s">
        <v>1973</v>
      </c>
      <c r="L35" s="59" t="s">
        <v>1394</v>
      </c>
      <c r="M35" s="59" t="s">
        <v>1891</v>
      </c>
      <c r="O35" s="59" t="s">
        <v>1884</v>
      </c>
      <c r="P35" s="59" t="b">
        <f>List129[[#This Row],[Income2018]]=List129[[#This Row],[Income]]</f>
        <v>0</v>
      </c>
      <c r="Q35" s="59" t="s">
        <v>1974</v>
      </c>
      <c r="R35" s="59" t="s">
        <v>240</v>
      </c>
      <c r="T35" s="59" t="s">
        <v>240</v>
      </c>
      <c r="U35" s="59" t="s">
        <v>240</v>
      </c>
      <c r="V35" s="59" t="s">
        <v>240</v>
      </c>
      <c r="W35" s="60" t="s">
        <v>240</v>
      </c>
      <c r="X35" s="60" t="s">
        <v>240</v>
      </c>
      <c r="Y35" s="60" t="s">
        <v>240</v>
      </c>
      <c r="Z35" s="61" t="str">
        <f>IF(OR(List129[[#This Row],[Fragile 2018]]=1,List129[[#This Row],[Income]]="LDC"),1,"")</f>
        <v/>
      </c>
      <c r="AA35" s="59" t="s">
        <v>240</v>
      </c>
      <c r="AB35" s="59" t="s">
        <v>1886</v>
      </c>
      <c r="AC35" s="59" t="s">
        <v>240</v>
      </c>
      <c r="AD35" s="59" t="s">
        <v>240</v>
      </c>
      <c r="AE35" s="59" t="s">
        <v>240</v>
      </c>
      <c r="AF35" s="59" t="s">
        <v>240</v>
      </c>
      <c r="AG35" s="59" t="s">
        <v>240</v>
      </c>
      <c r="AH35" s="59" t="s">
        <v>240</v>
      </c>
      <c r="AI35" s="59" t="s">
        <v>240</v>
      </c>
      <c r="AJ35" s="59" t="s">
        <v>240</v>
      </c>
      <c r="AK35" s="59" t="s">
        <v>1886</v>
      </c>
      <c r="AL35" s="59" t="s">
        <v>240</v>
      </c>
      <c r="AM35" s="59">
        <v>295</v>
      </c>
      <c r="AN35" s="59" t="s">
        <v>1847</v>
      </c>
    </row>
    <row r="36" spans="1:40" s="62" customFormat="1" x14ac:dyDescent="0.2">
      <c r="A36" s="59">
        <v>687</v>
      </c>
      <c r="B36" s="59">
        <v>831</v>
      </c>
      <c r="C36" s="59" t="s">
        <v>1391</v>
      </c>
      <c r="D36" s="59" t="s">
        <v>1392</v>
      </c>
      <c r="E36" s="59" t="s">
        <v>1390</v>
      </c>
      <c r="F36" s="59" t="s">
        <v>1393</v>
      </c>
      <c r="G36" s="59" t="s">
        <v>1975</v>
      </c>
      <c r="H36" s="59"/>
      <c r="I36" s="59">
        <v>889</v>
      </c>
      <c r="J36" s="59">
        <v>831</v>
      </c>
      <c r="K36" s="59" t="s">
        <v>1976</v>
      </c>
      <c r="L36" s="59" t="s">
        <v>1394</v>
      </c>
      <c r="M36" s="59" t="s">
        <v>1892</v>
      </c>
      <c r="N36" s="59" t="s">
        <v>1892</v>
      </c>
      <c r="O36" s="59" t="s">
        <v>1892</v>
      </c>
      <c r="P36" s="59" t="b">
        <f>List129[[#This Row],[Income2018]]=List129[[#This Row],[Income]]</f>
        <v>1</v>
      </c>
      <c r="Q36" s="59" t="s">
        <v>1977</v>
      </c>
      <c r="R36" s="59" t="s">
        <v>240</v>
      </c>
      <c r="S36" s="59"/>
      <c r="T36" s="59" t="s">
        <v>240</v>
      </c>
      <c r="U36" s="59" t="s">
        <v>1886</v>
      </c>
      <c r="V36" s="59" t="s">
        <v>240</v>
      </c>
      <c r="W36" s="60" t="s">
        <v>240</v>
      </c>
      <c r="X36" s="60" t="s">
        <v>240</v>
      </c>
      <c r="Y36" s="60" t="s">
        <v>240</v>
      </c>
      <c r="Z36" s="61" t="str">
        <f>IF(OR(List129[[#This Row],[Fragile 2018]]=1,List129[[#This Row],[Income]]="LDC"),1,"")</f>
        <v/>
      </c>
      <c r="AA36" s="59" t="s">
        <v>1886</v>
      </c>
      <c r="AB36" s="59" t="s">
        <v>1886</v>
      </c>
      <c r="AC36" s="59" t="s">
        <v>240</v>
      </c>
      <c r="AD36" s="59" t="s">
        <v>240</v>
      </c>
      <c r="AE36" s="59" t="s">
        <v>240</v>
      </c>
      <c r="AF36" s="59" t="s">
        <v>240</v>
      </c>
      <c r="AG36" s="59" t="s">
        <v>240</v>
      </c>
      <c r="AH36" s="59" t="s">
        <v>240</v>
      </c>
      <c r="AI36" s="59" t="s">
        <v>240</v>
      </c>
      <c r="AJ36" s="59" t="s">
        <v>240</v>
      </c>
      <c r="AK36" s="59" t="s">
        <v>1886</v>
      </c>
      <c r="AL36" s="59" t="s">
        <v>240</v>
      </c>
      <c r="AM36" s="59">
        <v>279</v>
      </c>
      <c r="AN36" s="59" t="s">
        <v>1391</v>
      </c>
    </row>
    <row r="37" spans="1:40" s="62" customFormat="1" x14ac:dyDescent="0.2">
      <c r="A37" s="59">
        <v>411</v>
      </c>
      <c r="B37" s="59">
        <v>336</v>
      </c>
      <c r="C37" s="59" t="s">
        <v>1395</v>
      </c>
      <c r="D37" s="59" t="s">
        <v>1396</v>
      </c>
      <c r="E37" s="59" t="s">
        <v>1395</v>
      </c>
      <c r="F37" s="59" t="s">
        <v>1397</v>
      </c>
      <c r="G37" s="59" t="s">
        <v>1978</v>
      </c>
      <c r="H37" s="59"/>
      <c r="I37" s="59">
        <v>498</v>
      </c>
      <c r="J37" s="59">
        <v>336</v>
      </c>
      <c r="K37" s="59" t="s">
        <v>1979</v>
      </c>
      <c r="L37" s="59" t="s">
        <v>1276</v>
      </c>
      <c r="M37" s="59" t="s">
        <v>1892</v>
      </c>
      <c r="N37" s="59" t="s">
        <v>1892</v>
      </c>
      <c r="O37" s="59" t="s">
        <v>1892</v>
      </c>
      <c r="P37" s="59" t="b">
        <f>List129[[#This Row],[Income2018]]=List129[[#This Row],[Income]]</f>
        <v>1</v>
      </c>
      <c r="Q37" s="59" t="s">
        <v>1980</v>
      </c>
      <c r="R37" s="59" t="s">
        <v>240</v>
      </c>
      <c r="S37" s="59"/>
      <c r="T37" s="59" t="s">
        <v>240</v>
      </c>
      <c r="U37" s="59" t="s">
        <v>240</v>
      </c>
      <c r="V37" s="59" t="s">
        <v>240</v>
      </c>
      <c r="W37" s="60" t="s">
        <v>240</v>
      </c>
      <c r="X37" s="60" t="s">
        <v>240</v>
      </c>
      <c r="Y37" s="60" t="s">
        <v>240</v>
      </c>
      <c r="Z37" s="61" t="str">
        <f>IF(OR(List129[[#This Row],[Fragile 2018]]=1,List129[[#This Row],[Income]]="LDC"),1,"")</f>
        <v/>
      </c>
      <c r="AA37" s="59" t="s">
        <v>240</v>
      </c>
      <c r="AB37" s="59" t="s">
        <v>1886</v>
      </c>
      <c r="AC37" s="59" t="s">
        <v>240</v>
      </c>
      <c r="AD37" s="59" t="s">
        <v>240</v>
      </c>
      <c r="AE37" s="59" t="s">
        <v>240</v>
      </c>
      <c r="AF37" s="59" t="s">
        <v>240</v>
      </c>
      <c r="AG37" s="59" t="s">
        <v>240</v>
      </c>
      <c r="AH37" s="59" t="s">
        <v>240</v>
      </c>
      <c r="AI37" s="59" t="s">
        <v>1886</v>
      </c>
      <c r="AJ37" s="59" t="s">
        <v>240</v>
      </c>
      <c r="AK37" s="59" t="s">
        <v>240</v>
      </c>
      <c r="AL37" s="59" t="s">
        <v>240</v>
      </c>
      <c r="AM37" s="59">
        <v>186</v>
      </c>
      <c r="AN37" s="59" t="s">
        <v>1395</v>
      </c>
    </row>
    <row r="38" spans="1:40" s="62" customFormat="1" x14ac:dyDescent="0.2">
      <c r="A38" s="59">
        <v>412</v>
      </c>
      <c r="B38" s="59">
        <v>338</v>
      </c>
      <c r="C38" s="59" t="s">
        <v>1398</v>
      </c>
      <c r="D38" s="59" t="s">
        <v>1398</v>
      </c>
      <c r="E38" s="59" t="s">
        <v>1398</v>
      </c>
      <c r="F38" s="59" t="s">
        <v>1399</v>
      </c>
      <c r="G38" s="59" t="s">
        <v>1981</v>
      </c>
      <c r="H38" s="59" t="s">
        <v>1398</v>
      </c>
      <c r="I38" s="59">
        <v>498</v>
      </c>
      <c r="J38" s="59">
        <v>338</v>
      </c>
      <c r="K38" s="59" t="s">
        <v>1399</v>
      </c>
      <c r="L38" s="59" t="s">
        <v>1276</v>
      </c>
      <c r="M38" s="59" t="s">
        <v>1892</v>
      </c>
      <c r="N38" s="59" t="s">
        <v>1892</v>
      </c>
      <c r="O38" s="59" t="s">
        <v>1892</v>
      </c>
      <c r="P38" s="59" t="b">
        <f>List129[[#This Row],[Income2018]]=List129[[#This Row],[Income]]</f>
        <v>1</v>
      </c>
      <c r="Q38" s="59" t="s">
        <v>1982</v>
      </c>
      <c r="R38" s="59" t="s">
        <v>240</v>
      </c>
      <c r="S38" s="59"/>
      <c r="T38" s="59" t="s">
        <v>240</v>
      </c>
      <c r="U38" s="59" t="s">
        <v>1886</v>
      </c>
      <c r="V38" s="59" t="s">
        <v>240</v>
      </c>
      <c r="W38" s="60" t="s">
        <v>240</v>
      </c>
      <c r="X38" s="60" t="s">
        <v>240</v>
      </c>
      <c r="Y38" s="60" t="s">
        <v>240</v>
      </c>
      <c r="Z38" s="61" t="str">
        <f>IF(OR(List129[[#This Row],[Fragile 2018]]=1,List129[[#This Row],[Income]]="LDC"),1,"")</f>
        <v/>
      </c>
      <c r="AA38" s="59" t="s">
        <v>1886</v>
      </c>
      <c r="AB38" s="59" t="s">
        <v>1886</v>
      </c>
      <c r="AC38" s="59" t="s">
        <v>240</v>
      </c>
      <c r="AD38" s="59" t="s">
        <v>240</v>
      </c>
      <c r="AE38" s="59" t="s">
        <v>240</v>
      </c>
      <c r="AF38" s="59" t="s">
        <v>240</v>
      </c>
      <c r="AG38" s="59" t="s">
        <v>240</v>
      </c>
      <c r="AH38" s="59" t="s">
        <v>240</v>
      </c>
      <c r="AI38" s="59" t="s">
        <v>1886</v>
      </c>
      <c r="AJ38" s="59" t="s">
        <v>240</v>
      </c>
      <c r="AK38" s="59" t="s">
        <v>240</v>
      </c>
      <c r="AL38" s="59" t="s">
        <v>240</v>
      </c>
      <c r="AM38" s="59">
        <v>187</v>
      </c>
      <c r="AN38" s="59" t="s">
        <v>1398</v>
      </c>
    </row>
    <row r="39" spans="1:40" s="62" customFormat="1" x14ac:dyDescent="0.2">
      <c r="A39" s="59">
        <v>345</v>
      </c>
      <c r="B39" s="59">
        <v>274</v>
      </c>
      <c r="C39" s="59" t="s">
        <v>1400</v>
      </c>
      <c r="D39" s="59" t="s">
        <v>1400</v>
      </c>
      <c r="E39" s="59" t="s">
        <v>1400</v>
      </c>
      <c r="F39" s="59" t="s">
        <v>1401</v>
      </c>
      <c r="G39" s="59" t="s">
        <v>1983</v>
      </c>
      <c r="H39" s="59"/>
      <c r="I39" s="59">
        <v>289</v>
      </c>
      <c r="J39" s="59">
        <v>274</v>
      </c>
      <c r="K39" s="59" t="s">
        <v>1401</v>
      </c>
      <c r="L39" s="59" t="s">
        <v>1270</v>
      </c>
      <c r="M39" s="59" t="s">
        <v>1888</v>
      </c>
      <c r="N39" s="59" t="s">
        <v>1888</v>
      </c>
      <c r="O39" s="59" t="s">
        <v>1888</v>
      </c>
      <c r="P39" s="59" t="b">
        <f>List129[[#This Row],[Income2018]]=List129[[#This Row],[Income]]</f>
        <v>1</v>
      </c>
      <c r="Q39" s="59" t="s">
        <v>1984</v>
      </c>
      <c r="R39" s="59" t="s">
        <v>240</v>
      </c>
      <c r="S39" s="59"/>
      <c r="T39" s="59" t="s">
        <v>1886</v>
      </c>
      <c r="U39" s="59" t="s">
        <v>240</v>
      </c>
      <c r="V39" s="59" t="s">
        <v>240</v>
      </c>
      <c r="W39" s="60" t="s">
        <v>240</v>
      </c>
      <c r="X39" s="60" t="s">
        <v>240</v>
      </c>
      <c r="Y39" s="60">
        <v>1</v>
      </c>
      <c r="Z39" s="61">
        <f>IF(OR(List129[[#This Row],[Fragile 2018]]=1,List129[[#This Row],[Income]]="LDC"),1,"")</f>
        <v>1</v>
      </c>
      <c r="AA39" s="59" t="s">
        <v>1886</v>
      </c>
      <c r="AB39" s="59" t="s">
        <v>1886</v>
      </c>
      <c r="AC39" s="59" t="s">
        <v>240</v>
      </c>
      <c r="AD39" s="59" t="s">
        <v>240</v>
      </c>
      <c r="AE39" s="59" t="s">
        <v>240</v>
      </c>
      <c r="AF39" s="59" t="s">
        <v>1886</v>
      </c>
      <c r="AG39" s="59" t="s">
        <v>240</v>
      </c>
      <c r="AH39" s="59" t="s">
        <v>1886</v>
      </c>
      <c r="AI39" s="59" t="s">
        <v>240</v>
      </c>
      <c r="AJ39" s="59" t="s">
        <v>240</v>
      </c>
      <c r="AK39" s="59" t="s">
        <v>240</v>
      </c>
      <c r="AL39" s="59" t="s">
        <v>240</v>
      </c>
      <c r="AM39" s="59">
        <v>138</v>
      </c>
      <c r="AN39" s="59" t="s">
        <v>1400</v>
      </c>
    </row>
    <row r="40" spans="1:40" s="62" customFormat="1" x14ac:dyDescent="0.2">
      <c r="A40" s="59">
        <v>420</v>
      </c>
      <c r="B40" s="59">
        <v>378</v>
      </c>
      <c r="C40" s="59" t="s">
        <v>1402</v>
      </c>
      <c r="D40" s="59" t="s">
        <v>1403</v>
      </c>
      <c r="E40" s="59" t="s">
        <v>1402</v>
      </c>
      <c r="F40" s="59" t="s">
        <v>1404</v>
      </c>
      <c r="G40" s="59" t="s">
        <v>1985</v>
      </c>
      <c r="H40" s="59"/>
      <c r="I40" s="59">
        <v>498</v>
      </c>
      <c r="J40" s="59">
        <v>378</v>
      </c>
      <c r="K40" s="59" t="s">
        <v>1986</v>
      </c>
      <c r="L40" s="59" t="s">
        <v>1276</v>
      </c>
      <c r="M40" s="59" t="s">
        <v>1892</v>
      </c>
      <c r="N40" s="59" t="s">
        <v>1892</v>
      </c>
      <c r="O40" s="59" t="s">
        <v>1892</v>
      </c>
      <c r="P40" s="59" t="b">
        <f>List129[[#This Row],[Income2018]]=List129[[#This Row],[Income]]</f>
        <v>1</v>
      </c>
      <c r="Q40" s="59" t="s">
        <v>1987</v>
      </c>
      <c r="R40" s="59" t="s">
        <v>240</v>
      </c>
      <c r="S40" s="59"/>
      <c r="T40" s="59" t="s">
        <v>240</v>
      </c>
      <c r="U40" s="59" t="s">
        <v>1886</v>
      </c>
      <c r="V40" s="59" t="s">
        <v>240</v>
      </c>
      <c r="W40" s="60" t="s">
        <v>240</v>
      </c>
      <c r="X40" s="60" t="s">
        <v>240</v>
      </c>
      <c r="Y40" s="60" t="s">
        <v>240</v>
      </c>
      <c r="Z40" s="61" t="str">
        <f>IF(OR(List129[[#This Row],[Fragile 2018]]=1,List129[[#This Row],[Income]]="LDC"),1,"")</f>
        <v/>
      </c>
      <c r="AA40" s="59" t="s">
        <v>1886</v>
      </c>
      <c r="AB40" s="59" t="s">
        <v>1886</v>
      </c>
      <c r="AC40" s="59" t="s">
        <v>240</v>
      </c>
      <c r="AD40" s="59" t="s">
        <v>240</v>
      </c>
      <c r="AE40" s="59" t="s">
        <v>240</v>
      </c>
      <c r="AF40" s="59" t="s">
        <v>240</v>
      </c>
      <c r="AG40" s="59" t="s">
        <v>240</v>
      </c>
      <c r="AH40" s="59" t="s">
        <v>240</v>
      </c>
      <c r="AI40" s="59" t="s">
        <v>1886</v>
      </c>
      <c r="AJ40" s="59" t="s">
        <v>240</v>
      </c>
      <c r="AK40" s="59" t="s">
        <v>240</v>
      </c>
      <c r="AL40" s="59" t="s">
        <v>240</v>
      </c>
      <c r="AM40" s="59">
        <v>188</v>
      </c>
      <c r="AN40" s="59" t="s">
        <v>1402</v>
      </c>
    </row>
    <row r="41" spans="1:40" s="62" customFormat="1" x14ac:dyDescent="0.2">
      <c r="A41" s="59">
        <v>427</v>
      </c>
      <c r="B41" s="59">
        <v>340</v>
      </c>
      <c r="C41" s="59" t="s">
        <v>1406</v>
      </c>
      <c r="D41" s="59" t="s">
        <v>1407</v>
      </c>
      <c r="E41" s="59" t="s">
        <v>1405</v>
      </c>
      <c r="F41" s="59" t="s">
        <v>1408</v>
      </c>
      <c r="G41" s="59" t="s">
        <v>1988</v>
      </c>
      <c r="H41" s="59" t="s">
        <v>1406</v>
      </c>
      <c r="I41" s="59">
        <v>498</v>
      </c>
      <c r="J41" s="59">
        <v>340</v>
      </c>
      <c r="K41" s="59" t="s">
        <v>1404</v>
      </c>
      <c r="L41" s="59" t="s">
        <v>1276</v>
      </c>
      <c r="M41" s="59" t="s">
        <v>1891</v>
      </c>
      <c r="N41" s="59" t="s">
        <v>1892</v>
      </c>
      <c r="O41" s="59" t="s">
        <v>1892</v>
      </c>
      <c r="P41" s="59" t="b">
        <f>List129[[#This Row],[Income2018]]=List129[[#This Row],[Income]]</f>
        <v>0</v>
      </c>
      <c r="Q41" s="59" t="s">
        <v>1989</v>
      </c>
      <c r="R41" s="59" t="s">
        <v>240</v>
      </c>
      <c r="S41" s="59"/>
      <c r="T41" s="59" t="s">
        <v>240</v>
      </c>
      <c r="U41" s="59" t="s">
        <v>1886</v>
      </c>
      <c r="V41" s="59" t="s">
        <v>240</v>
      </c>
      <c r="W41" s="60" t="s">
        <v>240</v>
      </c>
      <c r="X41" s="60" t="s">
        <v>240</v>
      </c>
      <c r="Y41" s="60" t="s">
        <v>240</v>
      </c>
      <c r="Z41" s="61" t="str">
        <f>IF(OR(List129[[#This Row],[Fragile 2018]]=1,List129[[#This Row],[Income]]="LDC"),1,"")</f>
        <v/>
      </c>
      <c r="AA41" s="59" t="s">
        <v>1886</v>
      </c>
      <c r="AB41" s="59" t="s">
        <v>1886</v>
      </c>
      <c r="AC41" s="59" t="s">
        <v>240</v>
      </c>
      <c r="AD41" s="59" t="s">
        <v>240</v>
      </c>
      <c r="AE41" s="59" t="s">
        <v>240</v>
      </c>
      <c r="AF41" s="59" t="s">
        <v>240</v>
      </c>
      <c r="AG41" s="59" t="s">
        <v>240</v>
      </c>
      <c r="AH41" s="59" t="s">
        <v>240</v>
      </c>
      <c r="AI41" s="59" t="s">
        <v>1886</v>
      </c>
      <c r="AJ41" s="59" t="s">
        <v>240</v>
      </c>
      <c r="AK41" s="59" t="s">
        <v>240</v>
      </c>
      <c r="AL41" s="59" t="s">
        <v>240</v>
      </c>
      <c r="AM41" s="59">
        <v>189</v>
      </c>
      <c r="AN41" s="59" t="s">
        <v>1406</v>
      </c>
    </row>
    <row r="42" spans="1:40" x14ac:dyDescent="0.2">
      <c r="A42" s="59">
        <v>340</v>
      </c>
      <c r="B42" s="59">
        <v>259</v>
      </c>
      <c r="C42" s="59" t="s">
        <v>1326</v>
      </c>
      <c r="D42" s="59" t="s">
        <v>1326</v>
      </c>
      <c r="E42" s="59" t="s">
        <v>1326</v>
      </c>
      <c r="F42" s="59" t="s">
        <v>1577</v>
      </c>
      <c r="G42" s="59" t="s">
        <v>1990</v>
      </c>
      <c r="H42" s="59" t="s">
        <v>1326</v>
      </c>
      <c r="I42" s="59">
        <v>289</v>
      </c>
      <c r="J42" s="59">
        <v>259</v>
      </c>
      <c r="K42" s="59" t="s">
        <v>1577</v>
      </c>
      <c r="L42" s="59" t="s">
        <v>1270</v>
      </c>
      <c r="M42" s="59" t="s">
        <v>1888</v>
      </c>
      <c r="N42" s="59" t="s">
        <v>1888</v>
      </c>
      <c r="O42" s="59" t="s">
        <v>1888</v>
      </c>
      <c r="P42" s="59" t="b">
        <f>List129[[#This Row],[Income2018]]=List129[[#This Row],[Income]]</f>
        <v>1</v>
      </c>
      <c r="Q42" s="59" t="s">
        <v>1991</v>
      </c>
      <c r="R42" s="59" t="s">
        <v>1886</v>
      </c>
      <c r="S42" s="59" t="s">
        <v>1577</v>
      </c>
      <c r="T42" s="59" t="s">
        <v>1886</v>
      </c>
      <c r="U42" s="59" t="s">
        <v>240</v>
      </c>
      <c r="V42" s="59" t="s">
        <v>240</v>
      </c>
      <c r="W42" s="60" t="s">
        <v>240</v>
      </c>
      <c r="X42" s="60" t="s">
        <v>240</v>
      </c>
      <c r="Y42" s="60">
        <v>1</v>
      </c>
      <c r="Z42" s="61">
        <f>IF(OR(List129[[#This Row],[Fragile 2018]]=1,List129[[#This Row],[Income]]="LDC"),1,"")</f>
        <v>1</v>
      </c>
      <c r="AA42" s="59" t="s">
        <v>1886</v>
      </c>
      <c r="AB42" s="59" t="s">
        <v>1886</v>
      </c>
      <c r="AC42" s="59" t="s">
        <v>1886</v>
      </c>
      <c r="AD42" s="59" t="s">
        <v>240</v>
      </c>
      <c r="AE42" s="59" t="s">
        <v>240</v>
      </c>
      <c r="AF42" s="59" t="s">
        <v>1886</v>
      </c>
      <c r="AG42" s="59" t="s">
        <v>240</v>
      </c>
      <c r="AH42" s="59" t="s">
        <v>1886</v>
      </c>
      <c r="AI42" s="59" t="s">
        <v>240</v>
      </c>
      <c r="AJ42" s="59" t="s">
        <v>240</v>
      </c>
      <c r="AK42" s="59" t="s">
        <v>240</v>
      </c>
      <c r="AL42" s="59" t="s">
        <v>240</v>
      </c>
      <c r="AM42" s="59">
        <v>156</v>
      </c>
      <c r="AN42" s="59" t="s">
        <v>1326</v>
      </c>
    </row>
    <row r="43" spans="1:40" x14ac:dyDescent="0.2">
      <c r="A43" s="59">
        <v>352</v>
      </c>
      <c r="B43" s="59">
        <v>142</v>
      </c>
      <c r="C43" s="59" t="s">
        <v>1412</v>
      </c>
      <c r="D43" s="59" t="s">
        <v>1412</v>
      </c>
      <c r="E43" s="59" t="s">
        <v>1411</v>
      </c>
      <c r="F43" s="59" t="s">
        <v>1413</v>
      </c>
      <c r="G43" s="59" t="s">
        <v>1992</v>
      </c>
      <c r="I43" s="59">
        <v>189</v>
      </c>
      <c r="J43" s="59">
        <v>142</v>
      </c>
      <c r="K43" s="59" t="s">
        <v>1413</v>
      </c>
      <c r="L43" s="59" t="s">
        <v>1265</v>
      </c>
      <c r="M43" s="59" t="s">
        <v>1891</v>
      </c>
      <c r="N43" s="59" t="s">
        <v>1891</v>
      </c>
      <c r="O43" s="59" t="s">
        <v>1891</v>
      </c>
      <c r="P43" s="59" t="b">
        <f>List129[[#This Row],[Income2018]]=List129[[#This Row],[Income]]</f>
        <v>1</v>
      </c>
      <c r="Q43" s="59" t="s">
        <v>1993</v>
      </c>
      <c r="R43" s="59" t="s">
        <v>240</v>
      </c>
      <c r="T43" s="59" t="s">
        <v>240</v>
      </c>
      <c r="U43" s="59" t="s">
        <v>240</v>
      </c>
      <c r="V43" s="59" t="s">
        <v>240</v>
      </c>
      <c r="W43" s="60" t="s">
        <v>1886</v>
      </c>
      <c r="X43" s="60" t="s">
        <v>1886</v>
      </c>
      <c r="Y43" s="60">
        <v>1</v>
      </c>
      <c r="Z43" s="61">
        <f>IF(OR(List129[[#This Row],[Fragile 2018]]=1,List129[[#This Row],[Income]]="LDC"),1,"")</f>
        <v>1</v>
      </c>
      <c r="AA43" s="59" t="s">
        <v>240</v>
      </c>
      <c r="AB43" s="59" t="s">
        <v>1886</v>
      </c>
      <c r="AC43" s="59" t="s">
        <v>240</v>
      </c>
      <c r="AD43" s="59" t="s">
        <v>240</v>
      </c>
      <c r="AE43" s="59" t="s">
        <v>240</v>
      </c>
      <c r="AF43" s="59" t="s">
        <v>1886</v>
      </c>
      <c r="AG43" s="59" t="s">
        <v>1886</v>
      </c>
      <c r="AH43" s="59" t="s">
        <v>240</v>
      </c>
      <c r="AI43" s="59" t="s">
        <v>240</v>
      </c>
      <c r="AJ43" s="59" t="s">
        <v>240</v>
      </c>
      <c r="AK43" s="59" t="s">
        <v>240</v>
      </c>
      <c r="AL43" s="59" t="s">
        <v>240</v>
      </c>
      <c r="AM43" s="59">
        <v>118</v>
      </c>
      <c r="AN43" s="59" t="s">
        <v>1412</v>
      </c>
    </row>
    <row r="44" spans="1:40" x14ac:dyDescent="0.2">
      <c r="A44" s="59">
        <v>421</v>
      </c>
      <c r="B44" s="59">
        <v>342</v>
      </c>
      <c r="C44" s="59" t="s">
        <v>1414</v>
      </c>
      <c r="D44" s="59" t="s">
        <v>1414</v>
      </c>
      <c r="E44" s="59" t="s">
        <v>1414</v>
      </c>
      <c r="F44" s="59" t="s">
        <v>1415</v>
      </c>
      <c r="G44" s="59" t="s">
        <v>1994</v>
      </c>
      <c r="H44" s="59" t="s">
        <v>1414</v>
      </c>
      <c r="I44" s="59">
        <v>498</v>
      </c>
      <c r="J44" s="59">
        <v>342</v>
      </c>
      <c r="K44" s="59" t="s">
        <v>1995</v>
      </c>
      <c r="L44" s="59" t="s">
        <v>1276</v>
      </c>
      <c r="M44" s="59" t="s">
        <v>1891</v>
      </c>
      <c r="N44" s="59" t="s">
        <v>1891</v>
      </c>
      <c r="O44" s="59" t="s">
        <v>1891</v>
      </c>
      <c r="P44" s="59" t="b">
        <f>List129[[#This Row],[Income2018]]=List129[[#This Row],[Income]]</f>
        <v>1</v>
      </c>
      <c r="Q44" s="59" t="s">
        <v>1996</v>
      </c>
      <c r="R44" s="59" t="s">
        <v>240</v>
      </c>
      <c r="T44" s="59" t="s">
        <v>240</v>
      </c>
      <c r="U44" s="59" t="s">
        <v>240</v>
      </c>
      <c r="V44" s="59" t="s">
        <v>240</v>
      </c>
      <c r="W44" s="60" t="s">
        <v>240</v>
      </c>
      <c r="X44" s="60" t="s">
        <v>240</v>
      </c>
      <c r="Y44" s="60" t="s">
        <v>240</v>
      </c>
      <c r="Z44" s="61" t="str">
        <f>IF(OR(List129[[#This Row],[Fragile 2018]]=1,List129[[#This Row],[Income]]="LDC"),1,"")</f>
        <v/>
      </c>
      <c r="AA44" s="59" t="s">
        <v>240</v>
      </c>
      <c r="AB44" s="59" t="s">
        <v>1886</v>
      </c>
      <c r="AC44" s="59" t="s">
        <v>240</v>
      </c>
      <c r="AD44" s="59" t="s">
        <v>240</v>
      </c>
      <c r="AE44" s="59" t="s">
        <v>240</v>
      </c>
      <c r="AF44" s="59" t="s">
        <v>240</v>
      </c>
      <c r="AG44" s="59" t="s">
        <v>240</v>
      </c>
      <c r="AH44" s="59" t="s">
        <v>240</v>
      </c>
      <c r="AI44" s="59" t="s">
        <v>1886</v>
      </c>
      <c r="AJ44" s="59" t="s">
        <v>240</v>
      </c>
      <c r="AK44" s="59" t="s">
        <v>240</v>
      </c>
      <c r="AL44" s="59" t="s">
        <v>240</v>
      </c>
      <c r="AM44" s="59">
        <v>190</v>
      </c>
      <c r="AN44" s="59" t="s">
        <v>1414</v>
      </c>
    </row>
    <row r="45" spans="1:40" x14ac:dyDescent="0.2">
      <c r="A45" s="59">
        <v>337</v>
      </c>
      <c r="B45" s="59">
        <v>245</v>
      </c>
      <c r="C45" s="59" t="s">
        <v>1417</v>
      </c>
      <c r="D45" s="59" t="s">
        <v>1418</v>
      </c>
      <c r="E45" s="59" t="s">
        <v>1416</v>
      </c>
      <c r="F45" s="59" t="s">
        <v>1419</v>
      </c>
      <c r="G45" s="59" t="s">
        <v>1997</v>
      </c>
      <c r="I45" s="59">
        <v>289</v>
      </c>
      <c r="J45" s="59">
        <v>245</v>
      </c>
      <c r="K45" s="59" t="s">
        <v>1998</v>
      </c>
      <c r="L45" s="59" t="s">
        <v>1270</v>
      </c>
      <c r="M45" s="59" t="s">
        <v>1888</v>
      </c>
      <c r="N45" s="59" t="s">
        <v>1892</v>
      </c>
      <c r="O45" s="59" t="s">
        <v>1892</v>
      </c>
      <c r="P45" s="59" t="b">
        <f>List129[[#This Row],[Income2018]]=List129[[#This Row],[Income]]</f>
        <v>0</v>
      </c>
      <c r="Q45" s="59" t="s">
        <v>1999</v>
      </c>
      <c r="R45" s="59" t="s">
        <v>240</v>
      </c>
      <c r="T45" s="59" t="s">
        <v>1886</v>
      </c>
      <c r="U45" s="59" t="s">
        <v>240</v>
      </c>
      <c r="V45" s="59" t="s">
        <v>240</v>
      </c>
      <c r="W45" s="60" t="s">
        <v>240</v>
      </c>
      <c r="X45" s="60" t="s">
        <v>240</v>
      </c>
      <c r="Y45" s="60">
        <v>1</v>
      </c>
      <c r="Z45" s="61">
        <f>IF(OR(List129[[#This Row],[Fragile 2018]]=1,List129[[#This Row],[Income]]="LDC"),1,"")</f>
        <v>1</v>
      </c>
      <c r="AA45" s="59" t="s">
        <v>1886</v>
      </c>
      <c r="AB45" s="59" t="s">
        <v>1886</v>
      </c>
      <c r="AC45" s="59" t="s">
        <v>240</v>
      </c>
      <c r="AD45" s="59" t="s">
        <v>240</v>
      </c>
      <c r="AE45" s="59" t="s">
        <v>240</v>
      </c>
      <c r="AF45" s="59" t="s">
        <v>1886</v>
      </c>
      <c r="AG45" s="59" t="s">
        <v>240</v>
      </c>
      <c r="AH45" s="59" t="s">
        <v>1886</v>
      </c>
      <c r="AI45" s="59" t="s">
        <v>240</v>
      </c>
      <c r="AJ45" s="59" t="s">
        <v>240</v>
      </c>
      <c r="AK45" s="59" t="s">
        <v>240</v>
      </c>
      <c r="AL45" s="59" t="s">
        <v>240</v>
      </c>
      <c r="AM45" s="59">
        <v>139</v>
      </c>
      <c r="AN45" s="59" t="s">
        <v>1417</v>
      </c>
    </row>
    <row r="46" spans="1:40" x14ac:dyDescent="0.2">
      <c r="A46" s="59">
        <v>330</v>
      </c>
      <c r="B46" s="59">
        <v>271</v>
      </c>
      <c r="C46" s="59" t="s">
        <v>1420</v>
      </c>
      <c r="D46" s="59" t="s">
        <v>1421</v>
      </c>
      <c r="E46" s="59" t="s">
        <v>1420</v>
      </c>
      <c r="F46" s="59" t="s">
        <v>1422</v>
      </c>
      <c r="G46" s="59" t="s">
        <v>2000</v>
      </c>
      <c r="I46" s="59">
        <v>289</v>
      </c>
      <c r="J46" s="59">
        <v>271</v>
      </c>
      <c r="K46" s="59" t="s">
        <v>2001</v>
      </c>
      <c r="L46" s="59" t="s">
        <v>1270</v>
      </c>
      <c r="M46" s="59" t="s">
        <v>1888</v>
      </c>
      <c r="N46" s="59" t="s">
        <v>1888</v>
      </c>
      <c r="O46" s="59" t="s">
        <v>1888</v>
      </c>
      <c r="P46" s="59" t="b">
        <f>List129[[#This Row],[Income2018]]=List129[[#This Row],[Income]]</f>
        <v>1</v>
      </c>
      <c r="Q46" s="59" t="s">
        <v>2002</v>
      </c>
      <c r="R46" s="59" t="s">
        <v>240</v>
      </c>
      <c r="T46" s="59" t="s">
        <v>1886</v>
      </c>
      <c r="U46" s="59" t="s">
        <v>240</v>
      </c>
      <c r="V46" s="59" t="s">
        <v>240</v>
      </c>
      <c r="W46" s="60" t="s">
        <v>1886</v>
      </c>
      <c r="X46" s="60" t="s">
        <v>1886</v>
      </c>
      <c r="Y46" s="60">
        <v>1</v>
      </c>
      <c r="Z46" s="61">
        <f>IF(OR(List129[[#This Row],[Fragile 2018]]=1,List129[[#This Row],[Income]]="LDC"),1,"")</f>
        <v>1</v>
      </c>
      <c r="AA46" s="59" t="s">
        <v>1886</v>
      </c>
      <c r="AB46" s="59" t="s">
        <v>1886</v>
      </c>
      <c r="AC46" s="59" t="s">
        <v>1886</v>
      </c>
      <c r="AD46" s="59" t="s">
        <v>240</v>
      </c>
      <c r="AE46" s="59" t="s">
        <v>240</v>
      </c>
      <c r="AF46" s="59" t="s">
        <v>1886</v>
      </c>
      <c r="AG46" s="59" t="s">
        <v>240</v>
      </c>
      <c r="AH46" s="59" t="s">
        <v>1886</v>
      </c>
      <c r="AI46" s="59" t="s">
        <v>240</v>
      </c>
      <c r="AJ46" s="59" t="s">
        <v>240</v>
      </c>
      <c r="AK46" s="59" t="s">
        <v>240</v>
      </c>
      <c r="AL46" s="59" t="s">
        <v>240</v>
      </c>
      <c r="AM46" s="59">
        <v>140</v>
      </c>
      <c r="AN46" s="59" t="s">
        <v>1420</v>
      </c>
    </row>
    <row r="47" spans="1:40" x14ac:dyDescent="0.2">
      <c r="A47" s="59">
        <v>311</v>
      </c>
      <c r="B47" s="59">
        <v>238</v>
      </c>
      <c r="C47" s="59" t="s">
        <v>1424</v>
      </c>
      <c r="D47" s="59" t="s">
        <v>1424</v>
      </c>
      <c r="E47" s="59" t="s">
        <v>1423</v>
      </c>
      <c r="F47" s="59" t="s">
        <v>1425</v>
      </c>
      <c r="G47" s="59" t="s">
        <v>2003</v>
      </c>
      <c r="H47" s="59" t="s">
        <v>1424</v>
      </c>
      <c r="I47" s="59">
        <v>289</v>
      </c>
      <c r="J47" s="59">
        <v>238</v>
      </c>
      <c r="K47" s="59" t="s">
        <v>1425</v>
      </c>
      <c r="L47" s="59" t="s">
        <v>1270</v>
      </c>
      <c r="M47" s="59" t="s">
        <v>1888</v>
      </c>
      <c r="N47" s="59" t="s">
        <v>1888</v>
      </c>
      <c r="O47" s="59" t="s">
        <v>1888</v>
      </c>
      <c r="P47" s="59" t="b">
        <f>List129[[#This Row],[Income2018]]=List129[[#This Row],[Income]]</f>
        <v>1</v>
      </c>
      <c r="Q47" s="59" t="s">
        <v>2004</v>
      </c>
      <c r="R47" s="59" t="s">
        <v>240</v>
      </c>
      <c r="T47" s="59" t="s">
        <v>1886</v>
      </c>
      <c r="U47" s="59" t="s">
        <v>240</v>
      </c>
      <c r="V47" s="59" t="s">
        <v>1886</v>
      </c>
      <c r="W47" s="60" t="s">
        <v>1886</v>
      </c>
      <c r="X47" s="60" t="s">
        <v>1886</v>
      </c>
      <c r="Y47" s="60">
        <v>1</v>
      </c>
      <c r="Z47" s="61">
        <f>IF(OR(List129[[#This Row],[Fragile 2018]]=1,List129[[#This Row],[Income]]="LDC"),1,"")</f>
        <v>1</v>
      </c>
      <c r="AA47" s="59" t="s">
        <v>1886</v>
      </c>
      <c r="AB47" s="59" t="s">
        <v>1886</v>
      </c>
      <c r="AC47" s="59" t="s">
        <v>1886</v>
      </c>
      <c r="AD47" s="59" t="s">
        <v>240</v>
      </c>
      <c r="AE47" s="59" t="s">
        <v>240</v>
      </c>
      <c r="AF47" s="59" t="s">
        <v>1886</v>
      </c>
      <c r="AG47" s="59" t="s">
        <v>240</v>
      </c>
      <c r="AH47" s="59" t="s">
        <v>1886</v>
      </c>
      <c r="AI47" s="59" t="s">
        <v>240</v>
      </c>
      <c r="AJ47" s="59" t="s">
        <v>240</v>
      </c>
      <c r="AK47" s="59" t="s">
        <v>240</v>
      </c>
      <c r="AL47" s="59" t="s">
        <v>240</v>
      </c>
      <c r="AM47" s="59">
        <v>141</v>
      </c>
      <c r="AN47" s="59" t="s">
        <v>1424</v>
      </c>
    </row>
    <row r="48" spans="1:40" x14ac:dyDescent="0.2">
      <c r="A48" s="59">
        <v>617</v>
      </c>
      <c r="B48" s="59">
        <v>832</v>
      </c>
      <c r="C48" s="59" t="s">
        <v>1427</v>
      </c>
      <c r="D48" s="59" t="s">
        <v>1426</v>
      </c>
      <c r="E48" s="59" t="s">
        <v>1426</v>
      </c>
      <c r="F48" s="59" t="s">
        <v>1428</v>
      </c>
      <c r="G48" s="59" t="s">
        <v>2005</v>
      </c>
      <c r="I48" s="59">
        <v>889</v>
      </c>
      <c r="J48" s="59">
        <v>832</v>
      </c>
      <c r="K48" s="59" t="s">
        <v>2006</v>
      </c>
      <c r="L48" s="59" t="s">
        <v>1394</v>
      </c>
      <c r="M48" s="59" t="s">
        <v>1892</v>
      </c>
      <c r="N48" s="59" t="s">
        <v>1892</v>
      </c>
      <c r="O48" s="59" t="s">
        <v>1892</v>
      </c>
      <c r="P48" s="59" t="b">
        <f>List129[[#This Row],[Income2018]]=List129[[#This Row],[Income]]</f>
        <v>1</v>
      </c>
      <c r="Q48" s="59" t="s">
        <v>2007</v>
      </c>
      <c r="R48" s="59" t="s">
        <v>240</v>
      </c>
      <c r="T48" s="59" t="s">
        <v>240</v>
      </c>
      <c r="U48" s="59" t="s">
        <v>1886</v>
      </c>
      <c r="V48" s="59" t="s">
        <v>240</v>
      </c>
      <c r="W48" s="60" t="s">
        <v>240</v>
      </c>
      <c r="X48" s="60" t="s">
        <v>240</v>
      </c>
      <c r="Y48" s="60" t="s">
        <v>240</v>
      </c>
      <c r="Z48" s="61" t="str">
        <f>IF(OR(List129[[#This Row],[Fragile 2018]]=1,List129[[#This Row],[Income]]="LDC"),1,"")</f>
        <v/>
      </c>
      <c r="AA48" s="59" t="s">
        <v>1886</v>
      </c>
      <c r="AB48" s="59" t="s">
        <v>1886</v>
      </c>
      <c r="AC48" s="59" t="s">
        <v>240</v>
      </c>
      <c r="AD48" s="59" t="s">
        <v>240</v>
      </c>
      <c r="AE48" s="59" t="s">
        <v>240</v>
      </c>
      <c r="AF48" s="59" t="s">
        <v>240</v>
      </c>
      <c r="AG48" s="59" t="s">
        <v>240</v>
      </c>
      <c r="AH48" s="59" t="s">
        <v>240</v>
      </c>
      <c r="AI48" s="59" t="s">
        <v>240</v>
      </c>
      <c r="AJ48" s="59" t="s">
        <v>240</v>
      </c>
      <c r="AK48" s="59" t="s">
        <v>1886</v>
      </c>
      <c r="AL48" s="59" t="s">
        <v>240</v>
      </c>
      <c r="AM48" s="59">
        <v>280</v>
      </c>
      <c r="AN48" s="59" t="s">
        <v>1427</v>
      </c>
    </row>
    <row r="49" spans="1:40" x14ac:dyDescent="0.2">
      <c r="A49" s="59">
        <v>214</v>
      </c>
      <c r="B49" s="59">
        <v>755</v>
      </c>
      <c r="C49" s="59" t="s">
        <v>1429</v>
      </c>
      <c r="D49" s="59" t="s">
        <v>1350</v>
      </c>
      <c r="E49" s="59" t="s">
        <v>1350</v>
      </c>
      <c r="F49" s="59" t="s">
        <v>1430</v>
      </c>
      <c r="G49" s="59" t="s">
        <v>2008</v>
      </c>
      <c r="H49" s="59" t="s">
        <v>1429</v>
      </c>
      <c r="I49" s="59">
        <v>798</v>
      </c>
      <c r="J49" s="59">
        <v>755</v>
      </c>
      <c r="K49" s="59" t="s">
        <v>2009</v>
      </c>
      <c r="L49" s="59" t="s">
        <v>1253</v>
      </c>
      <c r="M49" s="59" t="s">
        <v>1891</v>
      </c>
      <c r="N49" s="59" t="s">
        <v>1891</v>
      </c>
      <c r="O49" s="59" t="s">
        <v>1891</v>
      </c>
      <c r="P49" s="59" t="b">
        <f>List129[[#This Row],[Income2018]]=List129[[#This Row],[Income]]</f>
        <v>1</v>
      </c>
      <c r="Q49" s="59" t="s">
        <v>2010</v>
      </c>
      <c r="R49" s="59" t="s">
        <v>240</v>
      </c>
      <c r="T49" s="59" t="s">
        <v>240</v>
      </c>
      <c r="U49" s="59" t="s">
        <v>240</v>
      </c>
      <c r="V49" s="59" t="s">
        <v>240</v>
      </c>
      <c r="W49" s="60" t="s">
        <v>240</v>
      </c>
      <c r="X49" s="60" t="s">
        <v>240</v>
      </c>
      <c r="Y49" s="60" t="s">
        <v>240</v>
      </c>
      <c r="Z49" s="61" t="str">
        <f>IF(OR(List129[[#This Row],[Fragile 2018]]=1,List129[[#This Row],[Income]]="LDC"),1,"")</f>
        <v/>
      </c>
      <c r="AA49" s="59" t="s">
        <v>240</v>
      </c>
      <c r="AB49" s="59" t="s">
        <v>1886</v>
      </c>
      <c r="AC49" s="59" t="s">
        <v>240</v>
      </c>
      <c r="AD49" s="59" t="s">
        <v>240</v>
      </c>
      <c r="AE49" s="59" t="s">
        <v>240</v>
      </c>
      <c r="AF49" s="59" t="s">
        <v>240</v>
      </c>
      <c r="AG49" s="59" t="s">
        <v>240</v>
      </c>
      <c r="AH49" s="59" t="s">
        <v>240</v>
      </c>
      <c r="AI49" s="59" t="s">
        <v>240</v>
      </c>
      <c r="AJ49" s="59" t="s">
        <v>1886</v>
      </c>
      <c r="AK49" s="59" t="s">
        <v>240</v>
      </c>
      <c r="AL49" s="59" t="s">
        <v>240</v>
      </c>
      <c r="AM49" s="59">
        <v>269</v>
      </c>
      <c r="AN49" s="59" t="s">
        <v>1429</v>
      </c>
    </row>
    <row r="50" spans="1:40" x14ac:dyDescent="0.2">
      <c r="A50" s="59">
        <v>312</v>
      </c>
      <c r="B50" s="59">
        <v>239</v>
      </c>
      <c r="C50" s="59" t="s">
        <v>1431</v>
      </c>
      <c r="D50" s="59" t="s">
        <v>1431</v>
      </c>
      <c r="E50" s="59" t="s">
        <v>1431</v>
      </c>
      <c r="F50" s="59" t="s">
        <v>1432</v>
      </c>
      <c r="G50" s="59" t="s">
        <v>2011</v>
      </c>
      <c r="I50" s="59">
        <v>289</v>
      </c>
      <c r="J50" s="59">
        <v>239</v>
      </c>
      <c r="K50" s="59" t="s">
        <v>1432</v>
      </c>
      <c r="L50" s="59" t="s">
        <v>1270</v>
      </c>
      <c r="M50" s="59" t="s">
        <v>1892</v>
      </c>
      <c r="N50" s="59" t="s">
        <v>1892</v>
      </c>
      <c r="O50" s="59" t="s">
        <v>1892</v>
      </c>
      <c r="P50" s="59" t="b">
        <f>List129[[#This Row],[Income2018]]=List129[[#This Row],[Income]]</f>
        <v>1</v>
      </c>
      <c r="Q50" s="59" t="s">
        <v>2012</v>
      </c>
      <c r="R50" s="59" t="s">
        <v>240</v>
      </c>
      <c r="T50" s="59" t="s">
        <v>240</v>
      </c>
      <c r="U50" s="59" t="s">
        <v>240</v>
      </c>
      <c r="V50" s="59" t="s">
        <v>240</v>
      </c>
      <c r="W50" s="60" t="s">
        <v>240</v>
      </c>
      <c r="X50" s="60" t="s">
        <v>240</v>
      </c>
      <c r="Y50" s="60" t="s">
        <v>240</v>
      </c>
      <c r="Z50" s="61" t="str">
        <f>IF(OR(List129[[#This Row],[Fragile 2018]]=1,List129[[#This Row],[Income]]="LDC"),1,"")</f>
        <v/>
      </c>
      <c r="AA50" s="59" t="s">
        <v>1886</v>
      </c>
      <c r="AB50" s="59" t="s">
        <v>1886</v>
      </c>
      <c r="AC50" s="59" t="s">
        <v>240</v>
      </c>
      <c r="AD50" s="59" t="s">
        <v>240</v>
      </c>
      <c r="AE50" s="59" t="s">
        <v>240</v>
      </c>
      <c r="AF50" s="59" t="s">
        <v>1886</v>
      </c>
      <c r="AG50" s="59" t="s">
        <v>240</v>
      </c>
      <c r="AH50" s="59" t="s">
        <v>1886</v>
      </c>
      <c r="AI50" s="59" t="s">
        <v>240</v>
      </c>
      <c r="AJ50" s="59" t="s">
        <v>240</v>
      </c>
      <c r="AK50" s="59" t="s">
        <v>240</v>
      </c>
      <c r="AL50" s="59" t="s">
        <v>240</v>
      </c>
      <c r="AM50" s="59">
        <v>142</v>
      </c>
      <c r="AN50" s="59" t="s">
        <v>1431</v>
      </c>
    </row>
    <row r="51" spans="1:40" x14ac:dyDescent="0.2">
      <c r="A51" s="59">
        <v>313</v>
      </c>
      <c r="B51" s="59">
        <v>240</v>
      </c>
      <c r="C51" s="59" t="s">
        <v>1433</v>
      </c>
      <c r="D51" s="59" t="s">
        <v>1434</v>
      </c>
      <c r="E51" s="59" t="s">
        <v>1433</v>
      </c>
      <c r="F51" s="59" t="s">
        <v>1435</v>
      </c>
      <c r="G51" s="59" t="s">
        <v>2013</v>
      </c>
      <c r="H51" s="59" t="s">
        <v>1433</v>
      </c>
      <c r="I51" s="59">
        <v>289</v>
      </c>
      <c r="J51" s="59">
        <v>240</v>
      </c>
      <c r="K51" s="59" t="s">
        <v>2014</v>
      </c>
      <c r="L51" s="59" t="s">
        <v>1270</v>
      </c>
      <c r="M51" s="59" t="s">
        <v>1888</v>
      </c>
      <c r="N51" s="59" t="s">
        <v>1888</v>
      </c>
      <c r="O51" s="59" t="s">
        <v>1888</v>
      </c>
      <c r="P51" s="59" t="b">
        <f>List129[[#This Row],[Income2018]]=List129[[#This Row],[Income]]</f>
        <v>1</v>
      </c>
      <c r="Q51" s="59" t="s">
        <v>2015</v>
      </c>
      <c r="R51" s="59" t="s">
        <v>240</v>
      </c>
      <c r="T51" s="59" t="s">
        <v>1886</v>
      </c>
      <c r="U51" s="59" t="s">
        <v>240</v>
      </c>
      <c r="V51" s="59" t="s">
        <v>240</v>
      </c>
      <c r="W51" s="60" t="s">
        <v>240</v>
      </c>
      <c r="X51" s="60" t="s">
        <v>240</v>
      </c>
      <c r="Y51" s="60">
        <v>1</v>
      </c>
      <c r="Z51" s="61">
        <f>IF(OR(List129[[#This Row],[Fragile 2018]]=1,List129[[#This Row],[Income]]="LDC"),1,"")</f>
        <v>1</v>
      </c>
      <c r="AA51" s="59" t="s">
        <v>1886</v>
      </c>
      <c r="AB51" s="59" t="s">
        <v>1886</v>
      </c>
      <c r="AC51" s="59" t="s">
        <v>1886</v>
      </c>
      <c r="AD51" s="59" t="s">
        <v>1925</v>
      </c>
      <c r="AE51" s="59" t="s">
        <v>240</v>
      </c>
      <c r="AF51" s="59" t="s">
        <v>1886</v>
      </c>
      <c r="AG51" s="59" t="s">
        <v>240</v>
      </c>
      <c r="AH51" s="59" t="s">
        <v>1886</v>
      </c>
      <c r="AI51" s="59" t="s">
        <v>240</v>
      </c>
      <c r="AJ51" s="59" t="s">
        <v>240</v>
      </c>
      <c r="AK51" s="59" t="s">
        <v>240</v>
      </c>
      <c r="AL51" s="59" t="s">
        <v>240</v>
      </c>
      <c r="AM51" s="59">
        <v>143</v>
      </c>
      <c r="AN51" s="59" t="s">
        <v>1433</v>
      </c>
    </row>
    <row r="52" spans="1:40" x14ac:dyDescent="0.2">
      <c r="A52" s="59">
        <v>279</v>
      </c>
      <c r="B52" s="59">
        <v>612</v>
      </c>
      <c r="C52" s="59" t="s">
        <v>1437</v>
      </c>
      <c r="D52" s="59" t="s">
        <v>1438</v>
      </c>
      <c r="E52" s="59" t="s">
        <v>1436</v>
      </c>
      <c r="F52" s="59" t="s">
        <v>1439</v>
      </c>
      <c r="G52" s="59" t="s">
        <v>2016</v>
      </c>
      <c r="I52" s="59">
        <v>798</v>
      </c>
      <c r="J52" s="59">
        <v>612</v>
      </c>
      <c r="K52" s="59" t="s">
        <v>1439</v>
      </c>
      <c r="L52" s="59" t="s">
        <v>1253</v>
      </c>
      <c r="M52" s="59" t="s">
        <v>1891</v>
      </c>
      <c r="N52" s="59" t="s">
        <v>1891</v>
      </c>
      <c r="O52" s="59" t="s">
        <v>1891</v>
      </c>
      <c r="P52" s="59" t="b">
        <f>List129[[#This Row],[Income2018]]=List129[[#This Row],[Income]]</f>
        <v>1</v>
      </c>
      <c r="Q52" s="59" t="s">
        <v>2017</v>
      </c>
      <c r="R52" s="59" t="s">
        <v>240</v>
      </c>
      <c r="T52" s="59" t="s">
        <v>240</v>
      </c>
      <c r="U52" s="59" t="s">
        <v>240</v>
      </c>
      <c r="V52" s="59" t="s">
        <v>240</v>
      </c>
      <c r="W52" s="60" t="s">
        <v>1886</v>
      </c>
      <c r="X52" s="60" t="s">
        <v>240</v>
      </c>
      <c r="Y52" s="60" t="s">
        <v>240</v>
      </c>
      <c r="Z52" s="61" t="str">
        <f>IF(OR(List129[[#This Row],[Fragile 2018]]=1,List129[[#This Row],[Income]]="LDC"),1,"")</f>
        <v/>
      </c>
      <c r="AA52" s="59" t="s">
        <v>240</v>
      </c>
      <c r="AB52" s="59" t="s">
        <v>1886</v>
      </c>
      <c r="AC52" s="59" t="s">
        <v>240</v>
      </c>
      <c r="AD52" s="59" t="s">
        <v>240</v>
      </c>
      <c r="AE52" s="59" t="s">
        <v>240</v>
      </c>
      <c r="AF52" s="59" t="s">
        <v>240</v>
      </c>
      <c r="AG52" s="59" t="s">
        <v>240</v>
      </c>
      <c r="AH52" s="59" t="s">
        <v>240</v>
      </c>
      <c r="AI52" s="59" t="s">
        <v>240</v>
      </c>
      <c r="AJ52" s="59" t="s">
        <v>1886</v>
      </c>
      <c r="AK52" s="59" t="s">
        <v>240</v>
      </c>
      <c r="AL52" s="59" t="s">
        <v>240</v>
      </c>
      <c r="AM52" s="59">
        <v>245</v>
      </c>
      <c r="AN52" s="59" t="s">
        <v>1437</v>
      </c>
    </row>
    <row r="53" spans="1:40" x14ac:dyDescent="0.2">
      <c r="A53" s="59">
        <v>314</v>
      </c>
      <c r="B53" s="59">
        <v>241</v>
      </c>
      <c r="C53" s="59" t="s">
        <v>1440</v>
      </c>
      <c r="D53" s="59" t="s">
        <v>1440</v>
      </c>
      <c r="E53" s="59" t="s">
        <v>1440</v>
      </c>
      <c r="F53" s="59" t="s">
        <v>1441</v>
      </c>
      <c r="G53" s="59" t="s">
        <v>2018</v>
      </c>
      <c r="I53" s="59">
        <v>289</v>
      </c>
      <c r="J53" s="59">
        <v>241</v>
      </c>
      <c r="K53" s="59" t="s">
        <v>1441</v>
      </c>
      <c r="L53" s="59" t="s">
        <v>1270</v>
      </c>
      <c r="M53" s="59" t="s">
        <v>1967</v>
      </c>
      <c r="N53" s="59" t="s">
        <v>1891</v>
      </c>
      <c r="O53" s="59" t="s">
        <v>1891</v>
      </c>
      <c r="P53" s="59" t="b">
        <f>List129[[#This Row],[Income2018]]=List129[[#This Row],[Income]]</f>
        <v>0</v>
      </c>
      <c r="Q53" s="59" t="s">
        <v>2019</v>
      </c>
      <c r="R53" s="59" t="s">
        <v>240</v>
      </c>
      <c r="T53" s="59" t="s">
        <v>240</v>
      </c>
      <c r="U53" s="59" t="s">
        <v>240</v>
      </c>
      <c r="V53" s="59" t="s">
        <v>240</v>
      </c>
      <c r="W53" s="60" t="s">
        <v>240</v>
      </c>
      <c r="X53" s="60" t="s">
        <v>240</v>
      </c>
      <c r="Y53" s="60" t="s">
        <v>240</v>
      </c>
      <c r="Z53" s="61" t="str">
        <f>IF(OR(List129[[#This Row],[Fragile 2018]]=1,List129[[#This Row],[Income]]="LDC"),1,"")</f>
        <v/>
      </c>
      <c r="AA53" s="59" t="s">
        <v>1886</v>
      </c>
      <c r="AB53" s="59" t="s">
        <v>1886</v>
      </c>
      <c r="AC53" s="59" t="s">
        <v>1886</v>
      </c>
      <c r="AD53" s="59" t="s">
        <v>1925</v>
      </c>
      <c r="AE53" s="59" t="s">
        <v>240</v>
      </c>
      <c r="AF53" s="59" t="s">
        <v>1886</v>
      </c>
      <c r="AG53" s="59" t="s">
        <v>240</v>
      </c>
      <c r="AH53" s="59" t="s">
        <v>1886</v>
      </c>
      <c r="AI53" s="59" t="s">
        <v>240</v>
      </c>
      <c r="AJ53" s="59" t="s">
        <v>240</v>
      </c>
      <c r="AK53" s="59" t="s">
        <v>240</v>
      </c>
      <c r="AL53" s="59" t="s">
        <v>240</v>
      </c>
      <c r="AM53" s="59">
        <v>144</v>
      </c>
      <c r="AN53" s="59" t="s">
        <v>1440</v>
      </c>
    </row>
    <row r="54" spans="1:40" x14ac:dyDescent="0.2">
      <c r="A54" s="59">
        <v>426</v>
      </c>
      <c r="B54" s="59">
        <v>381</v>
      </c>
      <c r="C54" s="59" t="s">
        <v>1442</v>
      </c>
      <c r="D54" s="59" t="s">
        <v>1443</v>
      </c>
      <c r="E54" s="59" t="s">
        <v>1442</v>
      </c>
      <c r="F54" s="59" t="s">
        <v>1444</v>
      </c>
      <c r="G54" s="59" t="s">
        <v>2020</v>
      </c>
      <c r="I54" s="59">
        <v>498</v>
      </c>
      <c r="J54" s="59">
        <v>381</v>
      </c>
      <c r="K54" s="59" t="s">
        <v>2021</v>
      </c>
      <c r="L54" s="59" t="s">
        <v>1276</v>
      </c>
      <c r="M54" s="59" t="s">
        <v>1892</v>
      </c>
      <c r="N54" s="59" t="s">
        <v>1892</v>
      </c>
      <c r="O54" s="59" t="s">
        <v>1892</v>
      </c>
      <c r="P54" s="59" t="b">
        <f>List129[[#This Row],[Income2018]]=List129[[#This Row],[Income]]</f>
        <v>1</v>
      </c>
      <c r="Q54" s="59" t="s">
        <v>2022</v>
      </c>
      <c r="R54" s="59" t="s">
        <v>240</v>
      </c>
      <c r="T54" s="59" t="s">
        <v>240</v>
      </c>
      <c r="U54" s="59" t="s">
        <v>1886</v>
      </c>
      <c r="V54" s="59" t="s">
        <v>240</v>
      </c>
      <c r="W54" s="60" t="s">
        <v>240</v>
      </c>
      <c r="X54" s="60" t="s">
        <v>240</v>
      </c>
      <c r="Y54" s="60" t="s">
        <v>240</v>
      </c>
      <c r="Z54" s="61" t="str">
        <f>IF(OR(List129[[#This Row],[Fragile 2018]]=1,List129[[#This Row],[Income]]="LDC"),1,"")</f>
        <v/>
      </c>
      <c r="AA54" s="59" t="s">
        <v>1886</v>
      </c>
      <c r="AB54" s="59" t="s">
        <v>1886</v>
      </c>
      <c r="AC54" s="59" t="s">
        <v>240</v>
      </c>
      <c r="AD54" s="59" t="s">
        <v>240</v>
      </c>
      <c r="AE54" s="59" t="s">
        <v>240</v>
      </c>
      <c r="AF54" s="59" t="s">
        <v>240</v>
      </c>
      <c r="AG54" s="59" t="s">
        <v>240</v>
      </c>
      <c r="AH54" s="59" t="s">
        <v>240</v>
      </c>
      <c r="AI54" s="59" t="s">
        <v>1886</v>
      </c>
      <c r="AJ54" s="59" t="s">
        <v>240</v>
      </c>
      <c r="AK54" s="59" t="s">
        <v>240</v>
      </c>
      <c r="AL54" s="59" t="s">
        <v>240</v>
      </c>
      <c r="AM54" s="59">
        <v>191</v>
      </c>
      <c r="AN54" s="59" t="s">
        <v>1442</v>
      </c>
    </row>
    <row r="55" spans="1:40" x14ac:dyDescent="0.2">
      <c r="A55" s="59">
        <v>413</v>
      </c>
      <c r="B55" s="59">
        <v>347</v>
      </c>
      <c r="C55" s="59" t="s">
        <v>1283</v>
      </c>
      <c r="D55" s="59" t="s">
        <v>1283</v>
      </c>
      <c r="E55" s="59" t="s">
        <v>1283</v>
      </c>
      <c r="F55" s="59" t="s">
        <v>1445</v>
      </c>
      <c r="G55" s="59" t="s">
        <v>2023</v>
      </c>
      <c r="H55" s="59" t="s">
        <v>1283</v>
      </c>
      <c r="I55" s="59">
        <v>498</v>
      </c>
      <c r="J55" s="59">
        <v>347</v>
      </c>
      <c r="K55" s="59" t="s">
        <v>2024</v>
      </c>
      <c r="L55" s="59" t="s">
        <v>1276</v>
      </c>
      <c r="M55" s="59" t="s">
        <v>1891</v>
      </c>
      <c r="N55" s="59" t="s">
        <v>1891</v>
      </c>
      <c r="O55" s="59" t="s">
        <v>1891</v>
      </c>
      <c r="P55" s="59" t="b">
        <f>List129[[#This Row],[Income2018]]=List129[[#This Row],[Income]]</f>
        <v>1</v>
      </c>
      <c r="Q55" s="59" t="s">
        <v>2025</v>
      </c>
      <c r="R55" s="59" t="s">
        <v>240</v>
      </c>
      <c r="T55" s="59" t="s">
        <v>240</v>
      </c>
      <c r="U55" s="59" t="s">
        <v>240</v>
      </c>
      <c r="V55" s="59" t="s">
        <v>240</v>
      </c>
      <c r="W55" s="60" t="s">
        <v>240</v>
      </c>
      <c r="X55" s="60" t="s">
        <v>240</v>
      </c>
      <c r="Y55" s="60">
        <v>1</v>
      </c>
      <c r="Z55" s="61">
        <f>IF(OR(List129[[#This Row],[Fragile 2018]]=1,List129[[#This Row],[Income]]="LDC"),1,"")</f>
        <v>1</v>
      </c>
      <c r="AA55" s="59" t="s">
        <v>240</v>
      </c>
      <c r="AB55" s="59" t="s">
        <v>1886</v>
      </c>
      <c r="AC55" s="59" t="s">
        <v>240</v>
      </c>
      <c r="AD55" s="59" t="s">
        <v>240</v>
      </c>
      <c r="AE55" s="59" t="s">
        <v>240</v>
      </c>
      <c r="AF55" s="59" t="s">
        <v>240</v>
      </c>
      <c r="AG55" s="59" t="s">
        <v>240</v>
      </c>
      <c r="AH55" s="59" t="s">
        <v>240</v>
      </c>
      <c r="AI55" s="59" t="s">
        <v>1886</v>
      </c>
      <c r="AJ55" s="59" t="s">
        <v>240</v>
      </c>
      <c r="AK55" s="59" t="s">
        <v>240</v>
      </c>
      <c r="AL55" s="59" t="s">
        <v>240</v>
      </c>
      <c r="AM55" s="59">
        <v>192</v>
      </c>
      <c r="AN55" s="59" t="s">
        <v>1283</v>
      </c>
    </row>
    <row r="56" spans="1:40" x14ac:dyDescent="0.2">
      <c r="A56" s="59">
        <v>321</v>
      </c>
      <c r="B56" s="59">
        <v>260</v>
      </c>
      <c r="C56" s="59" t="s">
        <v>1331</v>
      </c>
      <c r="D56" s="59" t="s">
        <v>1331</v>
      </c>
      <c r="E56" s="59" t="s">
        <v>874</v>
      </c>
      <c r="F56" s="59" t="s">
        <v>1593</v>
      </c>
      <c r="G56" s="59" t="s">
        <v>2026</v>
      </c>
      <c r="H56" s="59" t="s">
        <v>1331</v>
      </c>
      <c r="I56" s="59">
        <v>289</v>
      </c>
      <c r="J56" s="59">
        <v>260</v>
      </c>
      <c r="K56" s="59" t="s">
        <v>1593</v>
      </c>
      <c r="L56" s="59" t="s">
        <v>1270</v>
      </c>
      <c r="M56" s="59" t="s">
        <v>1888</v>
      </c>
      <c r="N56" s="59" t="s">
        <v>1888</v>
      </c>
      <c r="O56" s="59" t="s">
        <v>1888</v>
      </c>
      <c r="P56" s="59" t="b">
        <f>List129[[#This Row],[Income2018]]=List129[[#This Row],[Income]]</f>
        <v>1</v>
      </c>
      <c r="Q56" s="59" t="s">
        <v>2027</v>
      </c>
      <c r="R56" s="59" t="s">
        <v>1886</v>
      </c>
      <c r="S56" s="59" t="s">
        <v>1593</v>
      </c>
      <c r="T56" s="59" t="s">
        <v>1886</v>
      </c>
      <c r="U56" s="59" t="s">
        <v>240</v>
      </c>
      <c r="V56" s="59" t="s">
        <v>1886</v>
      </c>
      <c r="W56" s="60" t="s">
        <v>1886</v>
      </c>
      <c r="X56" s="60" t="s">
        <v>1886</v>
      </c>
      <c r="Y56" s="60">
        <v>1</v>
      </c>
      <c r="Z56" s="61">
        <f>IF(OR(List129[[#This Row],[Fragile 2018]]=1,List129[[#This Row],[Income]]="LDC"),1,"")</f>
        <v>1</v>
      </c>
      <c r="AA56" s="59" t="s">
        <v>1886</v>
      </c>
      <c r="AB56" s="59" t="s">
        <v>1886</v>
      </c>
      <c r="AC56" s="59" t="s">
        <v>1886</v>
      </c>
      <c r="AD56" s="59" t="s">
        <v>1925</v>
      </c>
      <c r="AE56" s="59" t="s">
        <v>240</v>
      </c>
      <c r="AF56" s="59" t="s">
        <v>1886</v>
      </c>
      <c r="AG56" s="59" t="s">
        <v>240</v>
      </c>
      <c r="AH56" s="59" t="s">
        <v>1886</v>
      </c>
      <c r="AI56" s="59" t="s">
        <v>240</v>
      </c>
      <c r="AJ56" s="59" t="s">
        <v>240</v>
      </c>
      <c r="AK56" s="59" t="s">
        <v>240</v>
      </c>
      <c r="AL56" s="59" t="s">
        <v>240</v>
      </c>
      <c r="AM56" s="59">
        <v>158</v>
      </c>
      <c r="AN56" s="59" t="s">
        <v>1331</v>
      </c>
    </row>
    <row r="57" spans="1:40" x14ac:dyDescent="0.2">
      <c r="A57" s="59">
        <v>338</v>
      </c>
      <c r="B57" s="59">
        <v>244</v>
      </c>
      <c r="C57" s="59" t="s">
        <v>1450</v>
      </c>
      <c r="D57" s="59" t="s">
        <v>1451</v>
      </c>
      <c r="E57" s="59" t="s">
        <v>1449</v>
      </c>
      <c r="F57" s="59" t="s">
        <v>1452</v>
      </c>
      <c r="G57" s="59" t="s">
        <v>2028</v>
      </c>
      <c r="H57" s="59" t="s">
        <v>1450</v>
      </c>
      <c r="I57" s="59">
        <v>289</v>
      </c>
      <c r="J57" s="59">
        <v>244</v>
      </c>
      <c r="K57" s="59" t="s">
        <v>2029</v>
      </c>
      <c r="L57" s="59" t="s">
        <v>1270</v>
      </c>
      <c r="M57" s="59" t="s">
        <v>1888</v>
      </c>
      <c r="N57" s="59" t="s">
        <v>1888</v>
      </c>
      <c r="O57" s="59" t="s">
        <v>1888</v>
      </c>
      <c r="P57" s="59" t="b">
        <f>List129[[#This Row],[Income2018]]=List129[[#This Row],[Income]]</f>
        <v>1</v>
      </c>
      <c r="Q57" s="59" t="s">
        <v>2030</v>
      </c>
      <c r="R57" s="59" t="s">
        <v>240</v>
      </c>
      <c r="T57" s="59" t="s">
        <v>1886</v>
      </c>
      <c r="U57" s="59" t="s">
        <v>1886</v>
      </c>
      <c r="V57" s="59" t="s">
        <v>240</v>
      </c>
      <c r="W57" s="60" t="s">
        <v>1886</v>
      </c>
      <c r="X57" s="60" t="s">
        <v>1886</v>
      </c>
      <c r="Y57" s="60">
        <v>1</v>
      </c>
      <c r="Z57" s="61">
        <f>IF(OR(List129[[#This Row],[Fragile 2018]]=1,List129[[#This Row],[Income]]="LDC"),1,"")</f>
        <v>1</v>
      </c>
      <c r="AA57" s="59" t="s">
        <v>1886</v>
      </c>
      <c r="AB57" s="59" t="s">
        <v>1886</v>
      </c>
      <c r="AC57" s="59" t="s">
        <v>1886</v>
      </c>
      <c r="AD57" s="59" t="s">
        <v>1925</v>
      </c>
      <c r="AE57" s="59" t="s">
        <v>240</v>
      </c>
      <c r="AF57" s="59" t="s">
        <v>1886</v>
      </c>
      <c r="AG57" s="59" t="s">
        <v>240</v>
      </c>
      <c r="AH57" s="59" t="s">
        <v>1886</v>
      </c>
      <c r="AI57" s="59" t="s">
        <v>240</v>
      </c>
      <c r="AJ57" s="59" t="s">
        <v>240</v>
      </c>
      <c r="AK57" s="59" t="s">
        <v>240</v>
      </c>
      <c r="AL57" s="59" t="s">
        <v>240</v>
      </c>
      <c r="AM57" s="59">
        <v>146</v>
      </c>
      <c r="AN57" s="59" t="s">
        <v>1450</v>
      </c>
    </row>
    <row r="58" spans="1:40" x14ac:dyDescent="0.2">
      <c r="A58" s="59">
        <v>521</v>
      </c>
      <c r="B58" s="59">
        <v>446</v>
      </c>
      <c r="C58" s="59" t="s">
        <v>1453</v>
      </c>
      <c r="D58" s="59" t="s">
        <v>1453</v>
      </c>
      <c r="E58" s="59" t="s">
        <v>1453</v>
      </c>
      <c r="F58" s="59" t="s">
        <v>1454</v>
      </c>
      <c r="G58" s="59" t="s">
        <v>2031</v>
      </c>
      <c r="I58" s="59">
        <v>498</v>
      </c>
      <c r="J58" s="59">
        <v>446</v>
      </c>
      <c r="K58" s="59" t="s">
        <v>1454</v>
      </c>
      <c r="L58" s="59" t="s">
        <v>1276</v>
      </c>
      <c r="M58" s="59" t="s">
        <v>1891</v>
      </c>
      <c r="N58" s="59" t="s">
        <v>1892</v>
      </c>
      <c r="O58" s="59" t="s">
        <v>1892</v>
      </c>
      <c r="P58" s="59" t="b">
        <f>List129[[#This Row],[Income2018]]=List129[[#This Row],[Income]]</f>
        <v>0</v>
      </c>
      <c r="Q58" s="59" t="s">
        <v>2032</v>
      </c>
      <c r="R58" s="59" t="s">
        <v>240</v>
      </c>
      <c r="T58" s="59" t="s">
        <v>240</v>
      </c>
      <c r="U58" s="59" t="s">
        <v>1886</v>
      </c>
      <c r="V58" s="59" t="s">
        <v>240</v>
      </c>
      <c r="W58" s="60" t="s">
        <v>240</v>
      </c>
      <c r="X58" s="60" t="s">
        <v>240</v>
      </c>
      <c r="Y58" s="60" t="s">
        <v>240</v>
      </c>
      <c r="Z58" s="61" t="str">
        <f>IF(OR(List129[[#This Row],[Fragile 2018]]=1,List129[[#This Row],[Income]]="LDC"),1,"")</f>
        <v/>
      </c>
      <c r="AA58" s="59" t="s">
        <v>1886</v>
      </c>
      <c r="AB58" s="59" t="s">
        <v>1886</v>
      </c>
      <c r="AC58" s="59" t="s">
        <v>1886</v>
      </c>
      <c r="AD58" s="59" t="s">
        <v>240</v>
      </c>
      <c r="AE58" s="59" t="s">
        <v>240</v>
      </c>
      <c r="AF58" s="59" t="s">
        <v>240</v>
      </c>
      <c r="AG58" s="59" t="s">
        <v>240</v>
      </c>
      <c r="AH58" s="59" t="s">
        <v>240</v>
      </c>
      <c r="AI58" s="59" t="s">
        <v>1886</v>
      </c>
      <c r="AJ58" s="59" t="s">
        <v>240</v>
      </c>
      <c r="AK58" s="59" t="s">
        <v>240</v>
      </c>
      <c r="AL58" s="59" t="s">
        <v>240</v>
      </c>
      <c r="AM58" s="59">
        <v>215</v>
      </c>
      <c r="AN58" s="59" t="s">
        <v>1453</v>
      </c>
    </row>
    <row r="59" spans="1:40" x14ac:dyDescent="0.2">
      <c r="A59" s="59">
        <v>419</v>
      </c>
      <c r="B59" s="59">
        <v>349</v>
      </c>
      <c r="C59" s="59" t="s">
        <v>1296</v>
      </c>
      <c r="D59" s="59" t="s">
        <v>1296</v>
      </c>
      <c r="E59" s="59" t="s">
        <v>1296</v>
      </c>
      <c r="F59" s="59" t="s">
        <v>1455</v>
      </c>
      <c r="G59" s="59" t="s">
        <v>2033</v>
      </c>
      <c r="H59" s="59" t="s">
        <v>1296</v>
      </c>
      <c r="I59" s="59">
        <v>498</v>
      </c>
      <c r="J59" s="59">
        <v>349</v>
      </c>
      <c r="K59" s="59" t="s">
        <v>2034</v>
      </c>
      <c r="L59" s="59" t="s">
        <v>1276</v>
      </c>
      <c r="M59" s="59" t="s">
        <v>1888</v>
      </c>
      <c r="N59" s="59" t="s">
        <v>1888</v>
      </c>
      <c r="O59" s="59" t="s">
        <v>1888</v>
      </c>
      <c r="P59" s="59" t="b">
        <f>List129[[#This Row],[Income2018]]=List129[[#This Row],[Income]]</f>
        <v>1</v>
      </c>
      <c r="Q59" s="59" t="s">
        <v>2035</v>
      </c>
      <c r="R59" s="59" t="s">
        <v>240</v>
      </c>
      <c r="T59" s="59" t="s">
        <v>1886</v>
      </c>
      <c r="U59" s="59" t="s">
        <v>1886</v>
      </c>
      <c r="V59" s="59" t="s">
        <v>240</v>
      </c>
      <c r="W59" s="60" t="s">
        <v>1886</v>
      </c>
      <c r="X59" s="60" t="s">
        <v>1886</v>
      </c>
      <c r="Y59" s="60">
        <v>1</v>
      </c>
      <c r="Z59" s="61">
        <f>IF(OR(List129[[#This Row],[Fragile 2018]]=1,List129[[#This Row],[Income]]="LDC"),1,"")</f>
        <v>1</v>
      </c>
      <c r="AA59" s="59" t="s">
        <v>1886</v>
      </c>
      <c r="AB59" s="59" t="s">
        <v>1886</v>
      </c>
      <c r="AC59" s="59" t="s">
        <v>1886</v>
      </c>
      <c r="AD59" s="59" t="s">
        <v>240</v>
      </c>
      <c r="AE59" s="59" t="s">
        <v>240</v>
      </c>
      <c r="AF59" s="59" t="s">
        <v>240</v>
      </c>
      <c r="AG59" s="59" t="s">
        <v>240</v>
      </c>
      <c r="AH59" s="59" t="s">
        <v>240</v>
      </c>
      <c r="AI59" s="59" t="s">
        <v>1886</v>
      </c>
      <c r="AJ59" s="59" t="s">
        <v>240</v>
      </c>
      <c r="AK59" s="59" t="s">
        <v>240</v>
      </c>
      <c r="AL59" s="59" t="s">
        <v>240</v>
      </c>
      <c r="AM59" s="59">
        <v>193</v>
      </c>
      <c r="AN59" s="59" t="s">
        <v>1296</v>
      </c>
    </row>
    <row r="60" spans="1:40" x14ac:dyDescent="0.2">
      <c r="A60" s="59">
        <v>414</v>
      </c>
      <c r="B60" s="59">
        <v>351</v>
      </c>
      <c r="C60" s="59" t="s">
        <v>1457</v>
      </c>
      <c r="D60" s="59" t="s">
        <v>1457</v>
      </c>
      <c r="E60" s="59" t="s">
        <v>1456</v>
      </c>
      <c r="F60" s="59" t="s">
        <v>1458</v>
      </c>
      <c r="G60" s="59" t="s">
        <v>2036</v>
      </c>
      <c r="H60" s="59" t="s">
        <v>1457</v>
      </c>
      <c r="I60" s="59">
        <v>498</v>
      </c>
      <c r="J60" s="59">
        <v>351</v>
      </c>
      <c r="K60" s="59" t="s">
        <v>2037</v>
      </c>
      <c r="L60" s="59" t="s">
        <v>1276</v>
      </c>
      <c r="M60" s="59" t="s">
        <v>1891</v>
      </c>
      <c r="N60" s="59" t="s">
        <v>1891</v>
      </c>
      <c r="O60" s="59" t="s">
        <v>1891</v>
      </c>
      <c r="P60" s="59" t="b">
        <f>List129[[#This Row],[Income2018]]=List129[[#This Row],[Income]]</f>
        <v>1</v>
      </c>
      <c r="Q60" s="59" t="s">
        <v>2038</v>
      </c>
      <c r="R60" s="59" t="s">
        <v>240</v>
      </c>
      <c r="T60" s="59" t="s">
        <v>240</v>
      </c>
      <c r="U60" s="59" t="s">
        <v>240</v>
      </c>
      <c r="V60" s="59" t="s">
        <v>240</v>
      </c>
      <c r="W60" s="60" t="s">
        <v>240</v>
      </c>
      <c r="X60" s="60" t="s">
        <v>240</v>
      </c>
      <c r="Y60" s="60">
        <v>1</v>
      </c>
      <c r="Z60" s="61">
        <f>IF(OR(List129[[#This Row],[Fragile 2018]]=1,List129[[#This Row],[Income]]="LDC"),1,"")</f>
        <v>1</v>
      </c>
      <c r="AA60" s="59" t="s">
        <v>240</v>
      </c>
      <c r="AB60" s="59" t="s">
        <v>1886</v>
      </c>
      <c r="AC60" s="59" t="s">
        <v>1886</v>
      </c>
      <c r="AD60" s="59" t="s">
        <v>240</v>
      </c>
      <c r="AE60" s="59" t="s">
        <v>240</v>
      </c>
      <c r="AF60" s="59" t="s">
        <v>240</v>
      </c>
      <c r="AG60" s="59" t="s">
        <v>240</v>
      </c>
      <c r="AH60" s="59" t="s">
        <v>240</v>
      </c>
      <c r="AI60" s="59" t="s">
        <v>1886</v>
      </c>
      <c r="AJ60" s="59" t="s">
        <v>240</v>
      </c>
      <c r="AK60" s="59" t="s">
        <v>240</v>
      </c>
      <c r="AL60" s="59" t="s">
        <v>240</v>
      </c>
      <c r="AM60" s="59">
        <v>194</v>
      </c>
      <c r="AN60" s="59" t="s">
        <v>1457</v>
      </c>
    </row>
    <row r="61" spans="1:40" x14ac:dyDescent="0.2">
      <c r="A61" s="59">
        <v>207</v>
      </c>
      <c r="B61" s="59">
        <v>645</v>
      </c>
      <c r="C61" s="59" t="s">
        <v>1459</v>
      </c>
      <c r="D61" s="59" t="s">
        <v>1460</v>
      </c>
      <c r="E61" s="59" t="s">
        <v>1459</v>
      </c>
      <c r="F61" s="59" t="s">
        <v>1461</v>
      </c>
      <c r="G61" s="59" t="s">
        <v>2039</v>
      </c>
      <c r="H61" s="59" t="s">
        <v>1459</v>
      </c>
      <c r="I61" s="59">
        <v>798</v>
      </c>
      <c r="J61" s="59">
        <v>645</v>
      </c>
      <c r="K61" s="59" t="s">
        <v>1461</v>
      </c>
      <c r="L61" s="59" t="s">
        <v>1253</v>
      </c>
      <c r="M61" s="59" t="s">
        <v>1891</v>
      </c>
      <c r="N61" s="59" t="s">
        <v>1891</v>
      </c>
      <c r="O61" s="59" t="s">
        <v>1891</v>
      </c>
      <c r="P61" s="59" t="b">
        <f>List129[[#This Row],[Income2018]]=List129[[#This Row],[Income]]</f>
        <v>1</v>
      </c>
      <c r="Q61" s="59" t="s">
        <v>2040</v>
      </c>
      <c r="R61" s="59" t="s">
        <v>240</v>
      </c>
      <c r="T61" s="59" t="s">
        <v>240</v>
      </c>
      <c r="U61" s="59" t="s">
        <v>240</v>
      </c>
      <c r="V61" s="59" t="s">
        <v>240</v>
      </c>
      <c r="W61" s="60" t="s">
        <v>240</v>
      </c>
      <c r="X61" s="60" t="s">
        <v>240</v>
      </c>
      <c r="Y61" s="60" t="s">
        <v>240</v>
      </c>
      <c r="Z61" s="61" t="str">
        <f>IF(OR(List129[[#This Row],[Fragile 2018]]=1,List129[[#This Row],[Income]]="LDC"),1,"")</f>
        <v/>
      </c>
      <c r="AA61" s="59" t="s">
        <v>240</v>
      </c>
      <c r="AB61" s="59" t="s">
        <v>1886</v>
      </c>
      <c r="AC61" s="59" t="s">
        <v>240</v>
      </c>
      <c r="AD61" s="59" t="s">
        <v>240</v>
      </c>
      <c r="AE61" s="59" t="s">
        <v>240</v>
      </c>
      <c r="AF61" s="59" t="s">
        <v>240</v>
      </c>
      <c r="AG61" s="59" t="s">
        <v>240</v>
      </c>
      <c r="AH61" s="59" t="s">
        <v>240</v>
      </c>
      <c r="AI61" s="59" t="s">
        <v>240</v>
      </c>
      <c r="AJ61" s="59" t="s">
        <v>1886</v>
      </c>
      <c r="AK61" s="59" t="s">
        <v>240</v>
      </c>
      <c r="AL61" s="59" t="s">
        <v>240</v>
      </c>
      <c r="AM61" s="59">
        <v>246</v>
      </c>
      <c r="AN61" s="59" t="s">
        <v>1459</v>
      </c>
    </row>
    <row r="62" spans="1:40" x14ac:dyDescent="0.2">
      <c r="A62" s="59">
        <v>208</v>
      </c>
      <c r="B62" s="59">
        <v>738</v>
      </c>
      <c r="C62" s="59" t="s">
        <v>1462</v>
      </c>
      <c r="D62" s="59" t="s">
        <v>1462</v>
      </c>
      <c r="E62" s="59" t="s">
        <v>1302</v>
      </c>
      <c r="F62" s="59" t="s">
        <v>1463</v>
      </c>
      <c r="G62" s="59" t="s">
        <v>914</v>
      </c>
      <c r="H62" s="59" t="s">
        <v>1462</v>
      </c>
      <c r="I62" s="59">
        <v>798</v>
      </c>
      <c r="J62" s="59">
        <v>738</v>
      </c>
      <c r="K62" s="59" t="s">
        <v>2041</v>
      </c>
      <c r="L62" s="59" t="s">
        <v>1253</v>
      </c>
      <c r="M62" s="59" t="s">
        <v>1891</v>
      </c>
      <c r="N62" s="59" t="s">
        <v>1891</v>
      </c>
      <c r="O62" s="59" t="s">
        <v>1891</v>
      </c>
      <c r="P62" s="59" t="b">
        <f>List129[[#This Row],[Income2018]]=List129[[#This Row],[Income]]</f>
        <v>1</v>
      </c>
      <c r="Q62" s="59" t="s">
        <v>2042</v>
      </c>
      <c r="R62" s="59" t="s">
        <v>240</v>
      </c>
      <c r="T62" s="59" t="s">
        <v>240</v>
      </c>
      <c r="U62" s="59" t="s">
        <v>240</v>
      </c>
      <c r="V62" s="59" t="s">
        <v>240</v>
      </c>
      <c r="W62" s="60" t="s">
        <v>240</v>
      </c>
      <c r="X62" s="60" t="s">
        <v>240</v>
      </c>
      <c r="Y62" s="60" t="s">
        <v>240</v>
      </c>
      <c r="Z62" s="61" t="str">
        <f>IF(OR(List129[[#This Row],[Fragile 2018]]=1,List129[[#This Row],[Income]]="LDC"),1,"")</f>
        <v/>
      </c>
      <c r="AA62" s="59" t="s">
        <v>240</v>
      </c>
      <c r="AB62" s="59" t="s">
        <v>1886</v>
      </c>
      <c r="AC62" s="59" t="s">
        <v>240</v>
      </c>
      <c r="AD62" s="59" t="s">
        <v>240</v>
      </c>
      <c r="AE62" s="59" t="s">
        <v>240</v>
      </c>
      <c r="AF62" s="59" t="s">
        <v>240</v>
      </c>
      <c r="AG62" s="59" t="s">
        <v>240</v>
      </c>
      <c r="AH62" s="59" t="s">
        <v>240</v>
      </c>
      <c r="AI62" s="59" t="s">
        <v>240</v>
      </c>
      <c r="AJ62" s="59" t="s">
        <v>1886</v>
      </c>
      <c r="AK62" s="59" t="s">
        <v>240</v>
      </c>
      <c r="AL62" s="59" t="s">
        <v>240</v>
      </c>
      <c r="AM62" s="59">
        <v>264</v>
      </c>
      <c r="AN62" s="59" t="s">
        <v>1462</v>
      </c>
    </row>
    <row r="63" spans="1:40" x14ac:dyDescent="0.2">
      <c r="A63" s="59">
        <v>254</v>
      </c>
      <c r="B63" s="59">
        <v>543</v>
      </c>
      <c r="C63" s="59" t="s">
        <v>1465</v>
      </c>
      <c r="D63" s="59" t="s">
        <v>1465</v>
      </c>
      <c r="E63" s="59" t="s">
        <v>1464</v>
      </c>
      <c r="F63" s="59" t="s">
        <v>1466</v>
      </c>
      <c r="G63" s="59" t="s">
        <v>2043</v>
      </c>
      <c r="I63" s="59">
        <v>798</v>
      </c>
      <c r="J63" s="59">
        <v>543</v>
      </c>
      <c r="K63" s="59" t="s">
        <v>1466</v>
      </c>
      <c r="L63" s="59" t="s">
        <v>1253</v>
      </c>
      <c r="M63" s="59" t="s">
        <v>1891</v>
      </c>
      <c r="N63" s="59" t="s">
        <v>1892</v>
      </c>
      <c r="O63" s="59" t="s">
        <v>1892</v>
      </c>
      <c r="P63" s="59" t="b">
        <f>List129[[#This Row],[Income2018]]=List129[[#This Row],[Income]]</f>
        <v>0</v>
      </c>
      <c r="Q63" s="59" t="s">
        <v>2044</v>
      </c>
      <c r="R63" s="59" t="s">
        <v>240</v>
      </c>
      <c r="T63" s="59" t="s">
        <v>240</v>
      </c>
      <c r="U63" s="59" t="s">
        <v>240</v>
      </c>
      <c r="V63" s="59" t="s">
        <v>240</v>
      </c>
      <c r="W63" s="60" t="s">
        <v>1886</v>
      </c>
      <c r="X63" s="60" t="s">
        <v>1886</v>
      </c>
      <c r="Y63" s="60">
        <v>1</v>
      </c>
      <c r="Z63" s="61">
        <f>IF(OR(List129[[#This Row],[Fragile 2018]]=1,List129[[#This Row],[Income]]="LDC"),1,"")</f>
        <v>1</v>
      </c>
      <c r="AA63" s="59" t="s">
        <v>240</v>
      </c>
      <c r="AB63" s="59" t="s">
        <v>1886</v>
      </c>
      <c r="AC63" s="59" t="s">
        <v>240</v>
      </c>
      <c r="AD63" s="59" t="s">
        <v>240</v>
      </c>
      <c r="AE63" s="59" t="s">
        <v>240</v>
      </c>
      <c r="AF63" s="59" t="s">
        <v>240</v>
      </c>
      <c r="AG63" s="59" t="s">
        <v>240</v>
      </c>
      <c r="AH63" s="59" t="s">
        <v>240</v>
      </c>
      <c r="AI63" s="59" t="s">
        <v>240</v>
      </c>
      <c r="AJ63" s="59" t="s">
        <v>1886</v>
      </c>
      <c r="AK63" s="59" t="s">
        <v>240</v>
      </c>
      <c r="AL63" s="59" t="s">
        <v>240</v>
      </c>
      <c r="AM63" s="59">
        <v>229</v>
      </c>
      <c r="AN63" s="59" t="s">
        <v>1465</v>
      </c>
    </row>
    <row r="64" spans="1:40" x14ac:dyDescent="0.2">
      <c r="A64" s="59">
        <v>255</v>
      </c>
      <c r="B64" s="59">
        <v>540</v>
      </c>
      <c r="C64" s="59" t="s">
        <v>1467</v>
      </c>
      <c r="D64" s="59" t="s">
        <v>1467</v>
      </c>
      <c r="E64" s="59" t="s">
        <v>1467</v>
      </c>
      <c r="F64" s="59" t="s">
        <v>1468</v>
      </c>
      <c r="G64" s="59" t="s">
        <v>2045</v>
      </c>
      <c r="I64" s="59">
        <v>798</v>
      </c>
      <c r="J64" s="59">
        <v>540</v>
      </c>
      <c r="K64" s="59" t="s">
        <v>2046</v>
      </c>
      <c r="L64" s="59" t="s">
        <v>1253</v>
      </c>
      <c r="M64" s="59" t="s">
        <v>1891</v>
      </c>
      <c r="N64" s="59" t="s">
        <v>1892</v>
      </c>
      <c r="O64" s="59" t="s">
        <v>1892</v>
      </c>
      <c r="P64" s="59" t="b">
        <f>List129[[#This Row],[Income2018]]=List129[[#This Row],[Income]]</f>
        <v>0</v>
      </c>
      <c r="Q64" s="59" t="s">
        <v>2047</v>
      </c>
      <c r="R64" s="59" t="s">
        <v>240</v>
      </c>
      <c r="T64" s="59" t="s">
        <v>240</v>
      </c>
      <c r="U64" s="59" t="s">
        <v>240</v>
      </c>
      <c r="V64" s="59" t="s">
        <v>240</v>
      </c>
      <c r="W64" s="60" t="s">
        <v>1886</v>
      </c>
      <c r="X64" s="60" t="s">
        <v>240</v>
      </c>
      <c r="Y64" s="60">
        <v>1</v>
      </c>
      <c r="Z64" s="61">
        <f>IF(OR(List129[[#This Row],[Fragile 2018]]=1,List129[[#This Row],[Income]]="LDC"),1,"")</f>
        <v>1</v>
      </c>
      <c r="AA64" s="59" t="s">
        <v>240</v>
      </c>
      <c r="AB64" s="59" t="s">
        <v>1886</v>
      </c>
      <c r="AC64" s="59" t="s">
        <v>240</v>
      </c>
      <c r="AD64" s="59" t="s">
        <v>240</v>
      </c>
      <c r="AE64" s="59" t="s">
        <v>240</v>
      </c>
      <c r="AF64" s="59" t="s">
        <v>240</v>
      </c>
      <c r="AG64" s="59" t="s">
        <v>240</v>
      </c>
      <c r="AH64" s="59" t="s">
        <v>240</v>
      </c>
      <c r="AI64" s="59" t="s">
        <v>240</v>
      </c>
      <c r="AJ64" s="59" t="s">
        <v>1886</v>
      </c>
      <c r="AK64" s="59" t="s">
        <v>240</v>
      </c>
      <c r="AL64" s="59" t="s">
        <v>240</v>
      </c>
      <c r="AM64" s="59">
        <v>228</v>
      </c>
      <c r="AN64" s="59" t="s">
        <v>1467</v>
      </c>
    </row>
    <row r="65" spans="1:40" x14ac:dyDescent="0.2">
      <c r="A65" s="59">
        <v>309</v>
      </c>
      <c r="B65" s="59">
        <v>247</v>
      </c>
      <c r="C65" s="59" t="s">
        <v>1470</v>
      </c>
      <c r="D65" s="59" t="s">
        <v>1471</v>
      </c>
      <c r="E65" s="59" t="s">
        <v>1469</v>
      </c>
      <c r="F65" s="59" t="s">
        <v>1472</v>
      </c>
      <c r="G65" s="59" t="s">
        <v>2048</v>
      </c>
      <c r="H65" s="59" t="s">
        <v>1470</v>
      </c>
      <c r="I65" s="59">
        <v>289</v>
      </c>
      <c r="J65" s="59">
        <v>247</v>
      </c>
      <c r="K65" s="59" t="s">
        <v>2049</v>
      </c>
      <c r="L65" s="59" t="s">
        <v>1270</v>
      </c>
      <c r="M65" s="59" t="s">
        <v>1967</v>
      </c>
      <c r="N65" s="59" t="s">
        <v>1891</v>
      </c>
      <c r="O65" s="59" t="s">
        <v>1891</v>
      </c>
      <c r="P65" s="59" t="b">
        <f>List129[[#This Row],[Income2018]]=List129[[#This Row],[Income]]</f>
        <v>0</v>
      </c>
      <c r="Q65" s="59" t="s">
        <v>2050</v>
      </c>
      <c r="R65" s="59" t="s">
        <v>240</v>
      </c>
      <c r="T65" s="59" t="s">
        <v>240</v>
      </c>
      <c r="U65" s="59" t="s">
        <v>240</v>
      </c>
      <c r="V65" s="59" t="s">
        <v>240</v>
      </c>
      <c r="W65" s="60" t="s">
        <v>1886</v>
      </c>
      <c r="X65" s="60" t="s">
        <v>1886</v>
      </c>
      <c r="Y65" s="60">
        <v>1</v>
      </c>
      <c r="Z65" s="61">
        <f>IF(OR(List129[[#This Row],[Fragile 2018]]=1,List129[[#This Row],[Income]]="LDC"),1,"")</f>
        <v>1</v>
      </c>
      <c r="AA65" s="59" t="s">
        <v>1886</v>
      </c>
      <c r="AB65" s="59" t="s">
        <v>1886</v>
      </c>
      <c r="AC65" s="59" t="s">
        <v>1886</v>
      </c>
      <c r="AD65" s="59" t="s">
        <v>1925</v>
      </c>
      <c r="AE65" s="59" t="s">
        <v>240</v>
      </c>
      <c r="AF65" s="59" t="s">
        <v>1886</v>
      </c>
      <c r="AG65" s="59" t="s">
        <v>240</v>
      </c>
      <c r="AH65" s="59" t="s">
        <v>1886</v>
      </c>
      <c r="AI65" s="59" t="s">
        <v>240</v>
      </c>
      <c r="AJ65" s="59" t="s">
        <v>240</v>
      </c>
      <c r="AK65" s="59" t="s">
        <v>240</v>
      </c>
      <c r="AL65" s="59" t="s">
        <v>240</v>
      </c>
      <c r="AM65" s="59">
        <v>137</v>
      </c>
      <c r="AN65" s="59" t="s">
        <v>1470</v>
      </c>
    </row>
    <row r="66" spans="1:40" x14ac:dyDescent="0.2">
      <c r="A66" s="59">
        <v>415</v>
      </c>
      <c r="B66" s="59">
        <v>354</v>
      </c>
      <c r="C66" s="59" t="s">
        <v>1473</v>
      </c>
      <c r="D66" s="59" t="s">
        <v>1474</v>
      </c>
      <c r="E66" s="59" t="s">
        <v>1473</v>
      </c>
      <c r="F66" s="59" t="s">
        <v>1475</v>
      </c>
      <c r="G66" s="59" t="s">
        <v>2051</v>
      </c>
      <c r="I66" s="59">
        <v>498</v>
      </c>
      <c r="J66" s="59">
        <v>354</v>
      </c>
      <c r="K66" s="59" t="s">
        <v>1475</v>
      </c>
      <c r="L66" s="59" t="s">
        <v>1276</v>
      </c>
      <c r="M66" s="59" t="s">
        <v>1892</v>
      </c>
      <c r="N66" s="59" t="s">
        <v>1892</v>
      </c>
      <c r="O66" s="59" t="s">
        <v>1892</v>
      </c>
      <c r="P66" s="59" t="b">
        <f>List129[[#This Row],[Income2018]]=List129[[#This Row],[Income]]</f>
        <v>1</v>
      </c>
      <c r="Q66" s="59" t="s">
        <v>2052</v>
      </c>
      <c r="R66" s="59" t="s">
        <v>240</v>
      </c>
      <c r="T66" s="59" t="s">
        <v>240</v>
      </c>
      <c r="U66" s="59" t="s">
        <v>1886</v>
      </c>
      <c r="V66" s="59" t="s">
        <v>240</v>
      </c>
      <c r="W66" s="60" t="s">
        <v>240</v>
      </c>
      <c r="X66" s="60" t="s">
        <v>240</v>
      </c>
      <c r="Y66" s="60" t="s">
        <v>240</v>
      </c>
      <c r="Z66" s="61" t="str">
        <f>IF(OR(List129[[#This Row],[Fragile 2018]]=1,List129[[#This Row],[Income]]="LDC"),1,"")</f>
        <v/>
      </c>
      <c r="AA66" s="59" t="s">
        <v>1886</v>
      </c>
      <c r="AB66" s="59" t="s">
        <v>1886</v>
      </c>
      <c r="AC66" s="59" t="s">
        <v>240</v>
      </c>
      <c r="AD66" s="59" t="s">
        <v>240</v>
      </c>
      <c r="AE66" s="59" t="s">
        <v>240</v>
      </c>
      <c r="AF66" s="59" t="s">
        <v>240</v>
      </c>
      <c r="AG66" s="59" t="s">
        <v>240</v>
      </c>
      <c r="AH66" s="59" t="s">
        <v>240</v>
      </c>
      <c r="AI66" s="59" t="s">
        <v>1886</v>
      </c>
      <c r="AJ66" s="59" t="s">
        <v>240</v>
      </c>
      <c r="AK66" s="59" t="s">
        <v>240</v>
      </c>
      <c r="AL66" s="59" t="s">
        <v>240</v>
      </c>
      <c r="AM66" s="59">
        <v>195</v>
      </c>
      <c r="AN66" s="59" t="s">
        <v>1473</v>
      </c>
    </row>
    <row r="67" spans="1:40" x14ac:dyDescent="0.2">
      <c r="A67" s="59">
        <v>263</v>
      </c>
      <c r="B67" s="59">
        <v>580</v>
      </c>
      <c r="C67" s="59" t="s">
        <v>1477</v>
      </c>
      <c r="D67" s="59" t="s">
        <v>1478</v>
      </c>
      <c r="E67" s="59" t="s">
        <v>1476</v>
      </c>
      <c r="F67" s="59" t="s">
        <v>1479</v>
      </c>
      <c r="G67" s="59" t="s">
        <v>2053</v>
      </c>
      <c r="I67" s="59">
        <v>798</v>
      </c>
      <c r="J67" s="59">
        <v>580</v>
      </c>
      <c r="K67" s="59" t="s">
        <v>1479</v>
      </c>
      <c r="L67" s="59" t="s">
        <v>1253</v>
      </c>
      <c r="M67" s="59" t="s">
        <v>1888</v>
      </c>
      <c r="N67" s="59" t="s">
        <v>1888</v>
      </c>
      <c r="O67" s="59" t="s">
        <v>1888</v>
      </c>
      <c r="P67" s="59" t="b">
        <f>List129[[#This Row],[Income2018]]=List129[[#This Row],[Income]]</f>
        <v>1</v>
      </c>
      <c r="Q67" s="59" t="s">
        <v>2054</v>
      </c>
      <c r="R67" s="59" t="s">
        <v>240</v>
      </c>
      <c r="T67" s="59" t="s">
        <v>1886</v>
      </c>
      <c r="U67" s="59" t="s">
        <v>240</v>
      </c>
      <c r="V67" s="59" t="s">
        <v>240</v>
      </c>
      <c r="W67" s="60" t="s">
        <v>1886</v>
      </c>
      <c r="X67" s="60" t="s">
        <v>1886</v>
      </c>
      <c r="Y67" s="60">
        <v>1</v>
      </c>
      <c r="Z67" s="61">
        <f>IF(OR(List129[[#This Row],[Fragile 2018]]=1,List129[[#This Row],[Income]]="LDC"),1,"")</f>
        <v>1</v>
      </c>
      <c r="AA67" s="59" t="s">
        <v>240</v>
      </c>
      <c r="AB67" s="59" t="s">
        <v>1886</v>
      </c>
      <c r="AC67" s="59" t="s">
        <v>240</v>
      </c>
      <c r="AD67" s="59" t="s">
        <v>240</v>
      </c>
      <c r="AE67" s="59" t="s">
        <v>240</v>
      </c>
      <c r="AF67" s="59" t="s">
        <v>240</v>
      </c>
      <c r="AG67" s="59" t="s">
        <v>240</v>
      </c>
      <c r="AH67" s="59" t="s">
        <v>240</v>
      </c>
      <c r="AI67" s="59" t="s">
        <v>240</v>
      </c>
      <c r="AJ67" s="59" t="s">
        <v>1886</v>
      </c>
      <c r="AK67" s="59" t="s">
        <v>240</v>
      </c>
      <c r="AL67" s="59" t="s">
        <v>240</v>
      </c>
      <c r="AM67" s="59">
        <v>236</v>
      </c>
      <c r="AN67" s="59" t="s">
        <v>1477</v>
      </c>
    </row>
    <row r="68" spans="1:40" x14ac:dyDescent="0.2">
      <c r="A68" s="59">
        <v>257</v>
      </c>
      <c r="B68" s="59">
        <v>549</v>
      </c>
      <c r="C68" s="59" t="s">
        <v>1481</v>
      </c>
      <c r="D68" s="59" t="s">
        <v>1481</v>
      </c>
      <c r="E68" s="59" t="s">
        <v>1480</v>
      </c>
      <c r="F68" s="59" t="s">
        <v>1482</v>
      </c>
      <c r="G68" s="59" t="s">
        <v>2055</v>
      </c>
      <c r="I68" s="59">
        <v>798</v>
      </c>
      <c r="J68" s="59">
        <v>549</v>
      </c>
      <c r="K68" s="59" t="s">
        <v>1482</v>
      </c>
      <c r="L68" s="59" t="s">
        <v>1253</v>
      </c>
      <c r="M68" s="59" t="s">
        <v>1891</v>
      </c>
      <c r="N68" s="59" t="s">
        <v>1891</v>
      </c>
      <c r="O68" s="59" t="s">
        <v>1891</v>
      </c>
      <c r="P68" s="59" t="b">
        <f>List129[[#This Row],[Income2018]]=List129[[#This Row],[Income]]</f>
        <v>1</v>
      </c>
      <c r="Q68" s="59" t="s">
        <v>2056</v>
      </c>
      <c r="R68" s="59" t="s">
        <v>240</v>
      </c>
      <c r="T68" s="59" t="s">
        <v>240</v>
      </c>
      <c r="U68" s="59" t="s">
        <v>240</v>
      </c>
      <c r="V68" s="59" t="s">
        <v>240</v>
      </c>
      <c r="W68" s="60" t="s">
        <v>240</v>
      </c>
      <c r="X68" s="60" t="s">
        <v>240</v>
      </c>
      <c r="Y68" s="60" t="s">
        <v>240</v>
      </c>
      <c r="Z68" s="61" t="str">
        <f>IF(OR(List129[[#This Row],[Fragile 2018]]=1,List129[[#This Row],[Income]]="LDC"),1,"")</f>
        <v/>
      </c>
      <c r="AA68" s="59" t="s">
        <v>240</v>
      </c>
      <c r="AB68" s="59" t="s">
        <v>1886</v>
      </c>
      <c r="AC68" s="59" t="s">
        <v>240</v>
      </c>
      <c r="AD68" s="59" t="s">
        <v>240</v>
      </c>
      <c r="AE68" s="59" t="s">
        <v>240</v>
      </c>
      <c r="AF68" s="59" t="s">
        <v>240</v>
      </c>
      <c r="AG68" s="59" t="s">
        <v>240</v>
      </c>
      <c r="AH68" s="59" t="s">
        <v>240</v>
      </c>
      <c r="AI68" s="59" t="s">
        <v>240</v>
      </c>
      <c r="AJ68" s="59" t="s">
        <v>1886</v>
      </c>
      <c r="AK68" s="59" t="s">
        <v>240</v>
      </c>
      <c r="AL68" s="59" t="s">
        <v>240</v>
      </c>
      <c r="AM68" s="59">
        <v>230</v>
      </c>
      <c r="AN68" s="59" t="s">
        <v>1481</v>
      </c>
    </row>
    <row r="69" spans="1:40" x14ac:dyDescent="0.2">
      <c r="A69" s="59">
        <v>339</v>
      </c>
      <c r="B69" s="59">
        <v>230</v>
      </c>
      <c r="C69" s="59" t="s">
        <v>1484</v>
      </c>
      <c r="D69" s="59" t="s">
        <v>1485</v>
      </c>
      <c r="E69" s="59" t="s">
        <v>1483</v>
      </c>
      <c r="F69" s="59" t="s">
        <v>1486</v>
      </c>
      <c r="G69" s="59" t="s">
        <v>2057</v>
      </c>
      <c r="I69" s="59">
        <v>289</v>
      </c>
      <c r="J69" s="59">
        <v>230</v>
      </c>
      <c r="K69" s="59" t="s">
        <v>2058</v>
      </c>
      <c r="L69" s="59" t="s">
        <v>1270</v>
      </c>
      <c r="M69" s="59" t="s">
        <v>1891</v>
      </c>
      <c r="N69" s="59" t="s">
        <v>1891</v>
      </c>
      <c r="O69" s="59" t="s">
        <v>1891</v>
      </c>
      <c r="P69" s="59" t="b">
        <f>List129[[#This Row],[Income2018]]=List129[[#This Row],[Income]]</f>
        <v>1</v>
      </c>
      <c r="Q69" s="59" t="s">
        <v>2059</v>
      </c>
      <c r="R69" s="59" t="s">
        <v>240</v>
      </c>
      <c r="T69" s="59" t="s">
        <v>240</v>
      </c>
      <c r="U69" s="59" t="s">
        <v>1886</v>
      </c>
      <c r="V69" s="59" t="s">
        <v>240</v>
      </c>
      <c r="W69" s="60" t="s">
        <v>240</v>
      </c>
      <c r="X69" s="60" t="s">
        <v>240</v>
      </c>
      <c r="Y69" s="60" t="s">
        <v>240</v>
      </c>
      <c r="Z69" s="61" t="str">
        <f>IF(OR(List129[[#This Row],[Fragile 2018]]=1,List129[[#This Row],[Income]]="LDC"),1,"")</f>
        <v/>
      </c>
      <c r="AA69" s="59" t="s">
        <v>1886</v>
      </c>
      <c r="AB69" s="59" t="s">
        <v>1886</v>
      </c>
      <c r="AC69" s="59" t="s">
        <v>240</v>
      </c>
      <c r="AD69" s="59" t="s">
        <v>1925</v>
      </c>
      <c r="AE69" s="59" t="s">
        <v>240</v>
      </c>
      <c r="AF69" s="59" t="s">
        <v>1886</v>
      </c>
      <c r="AG69" s="59" t="s">
        <v>240</v>
      </c>
      <c r="AH69" s="59" t="s">
        <v>1886</v>
      </c>
      <c r="AI69" s="59" t="s">
        <v>240</v>
      </c>
      <c r="AJ69" s="59" t="s">
        <v>240</v>
      </c>
      <c r="AK69" s="59" t="s">
        <v>240</v>
      </c>
      <c r="AL69" s="59" t="s">
        <v>240</v>
      </c>
      <c r="AM69" s="59">
        <v>131</v>
      </c>
      <c r="AN69" s="59" t="s">
        <v>1484</v>
      </c>
    </row>
    <row r="70" spans="1:40" x14ac:dyDescent="0.2">
      <c r="A70" s="59">
        <v>304</v>
      </c>
      <c r="B70" s="59">
        <v>229</v>
      </c>
      <c r="C70" s="59" t="s">
        <v>1488</v>
      </c>
      <c r="D70" s="59" t="s">
        <v>1489</v>
      </c>
      <c r="E70" s="59" t="s">
        <v>1487</v>
      </c>
      <c r="F70" s="59" t="s">
        <v>1490</v>
      </c>
      <c r="G70" s="59" t="s">
        <v>2060</v>
      </c>
      <c r="H70" s="59" t="s">
        <v>1488</v>
      </c>
      <c r="I70" s="59">
        <v>289</v>
      </c>
      <c r="J70" s="59">
        <v>229</v>
      </c>
      <c r="K70" s="59" t="s">
        <v>2061</v>
      </c>
      <c r="L70" s="59" t="s">
        <v>1270</v>
      </c>
      <c r="M70" s="59" t="s">
        <v>1891</v>
      </c>
      <c r="N70" s="59" t="s">
        <v>1891</v>
      </c>
      <c r="O70" s="59" t="s">
        <v>1891</v>
      </c>
      <c r="P70" s="59" t="b">
        <f>List129[[#This Row],[Income2018]]=List129[[#This Row],[Income]]</f>
        <v>1</v>
      </c>
      <c r="Q70" s="59" t="s">
        <v>2062</v>
      </c>
      <c r="R70" s="59" t="s">
        <v>240</v>
      </c>
      <c r="T70" s="59" t="s">
        <v>240</v>
      </c>
      <c r="U70" s="59" t="s">
        <v>240</v>
      </c>
      <c r="V70" s="59" t="s">
        <v>240</v>
      </c>
      <c r="W70" s="60" t="s">
        <v>1886</v>
      </c>
      <c r="X70" s="60" t="s">
        <v>1886</v>
      </c>
      <c r="Y70" s="60">
        <v>1</v>
      </c>
      <c r="Z70" s="61">
        <f>IF(OR(List129[[#This Row],[Fragile 2018]]=1,List129[[#This Row],[Income]]="LDC"),1,"")</f>
        <v>1</v>
      </c>
      <c r="AA70" s="59" t="s">
        <v>1886</v>
      </c>
      <c r="AB70" s="59" t="s">
        <v>1886</v>
      </c>
      <c r="AC70" s="59" t="s">
        <v>1886</v>
      </c>
      <c r="AD70" s="59" t="s">
        <v>240</v>
      </c>
      <c r="AE70" s="59" t="s">
        <v>240</v>
      </c>
      <c r="AF70" s="59" t="s">
        <v>1886</v>
      </c>
      <c r="AG70" s="59" t="s">
        <v>240</v>
      </c>
      <c r="AH70" s="59" t="s">
        <v>1886</v>
      </c>
      <c r="AI70" s="59" t="s">
        <v>240</v>
      </c>
      <c r="AJ70" s="59" t="s">
        <v>240</v>
      </c>
      <c r="AK70" s="59" t="s">
        <v>240</v>
      </c>
      <c r="AL70" s="59" t="s">
        <v>240</v>
      </c>
      <c r="AM70" s="59">
        <v>130</v>
      </c>
      <c r="AN70" s="59" t="s">
        <v>1488</v>
      </c>
    </row>
    <row r="71" spans="1:40" x14ac:dyDescent="0.2">
      <c r="A71" s="59">
        <v>273</v>
      </c>
      <c r="B71" s="59">
        <v>613</v>
      </c>
      <c r="C71" s="59" t="s">
        <v>1492</v>
      </c>
      <c r="D71" s="59" t="s">
        <v>1493</v>
      </c>
      <c r="E71" s="59" t="s">
        <v>1491</v>
      </c>
      <c r="F71" s="59" t="s">
        <v>1494</v>
      </c>
      <c r="G71" s="59" t="s">
        <v>2063</v>
      </c>
      <c r="I71" s="59">
        <v>798</v>
      </c>
      <c r="J71" s="59">
        <v>613</v>
      </c>
      <c r="K71" s="59" t="s">
        <v>1494</v>
      </c>
      <c r="L71" s="59" t="s">
        <v>1253</v>
      </c>
      <c r="M71" s="59" t="s">
        <v>1892</v>
      </c>
      <c r="N71" s="59" t="s">
        <v>1892</v>
      </c>
      <c r="O71" s="59" t="s">
        <v>1892</v>
      </c>
      <c r="P71" s="59" t="b">
        <f>List129[[#This Row],[Income2018]]=List129[[#This Row],[Income]]</f>
        <v>1</v>
      </c>
      <c r="Q71" s="59" t="s">
        <v>2064</v>
      </c>
      <c r="R71" s="59" t="s">
        <v>240</v>
      </c>
      <c r="T71" s="59" t="s">
        <v>240</v>
      </c>
      <c r="U71" s="59" t="s">
        <v>240</v>
      </c>
      <c r="V71" s="59" t="s">
        <v>1886</v>
      </c>
      <c r="W71" s="60" t="s">
        <v>240</v>
      </c>
      <c r="X71" s="60" t="s">
        <v>240</v>
      </c>
      <c r="Y71" s="60" t="s">
        <v>240</v>
      </c>
      <c r="Z71" s="61" t="str">
        <f>IF(OR(List129[[#This Row],[Fragile 2018]]=1,List129[[#This Row],[Income]]="LDC"),1,"")</f>
        <v/>
      </c>
      <c r="AA71" s="59" t="s">
        <v>240</v>
      </c>
      <c r="AB71" s="59" t="s">
        <v>1886</v>
      </c>
      <c r="AC71" s="59" t="s">
        <v>240</v>
      </c>
      <c r="AD71" s="59" t="s">
        <v>240</v>
      </c>
      <c r="AE71" s="59" t="s">
        <v>240</v>
      </c>
      <c r="AF71" s="59" t="s">
        <v>240</v>
      </c>
      <c r="AG71" s="59" t="s">
        <v>240</v>
      </c>
      <c r="AH71" s="59" t="s">
        <v>240</v>
      </c>
      <c r="AI71" s="59" t="s">
        <v>240</v>
      </c>
      <c r="AJ71" s="59" t="s">
        <v>1886</v>
      </c>
      <c r="AK71" s="59" t="s">
        <v>240</v>
      </c>
      <c r="AL71" s="59" t="s">
        <v>240</v>
      </c>
      <c r="AM71" s="59">
        <v>247</v>
      </c>
      <c r="AN71" s="59" t="s">
        <v>1492</v>
      </c>
    </row>
    <row r="72" spans="1:40" x14ac:dyDescent="0.2">
      <c r="A72" s="59">
        <v>336</v>
      </c>
      <c r="B72" s="59">
        <v>248</v>
      </c>
      <c r="C72" s="59" t="s">
        <v>1495</v>
      </c>
      <c r="D72" s="59" t="s">
        <v>1306</v>
      </c>
      <c r="E72" s="59" t="s">
        <v>1306</v>
      </c>
      <c r="F72" s="59" t="s">
        <v>1496</v>
      </c>
      <c r="G72" s="59" t="s">
        <v>2065</v>
      </c>
      <c r="H72" s="59" t="s">
        <v>1495</v>
      </c>
      <c r="I72" s="59">
        <v>289</v>
      </c>
      <c r="J72" s="59">
        <v>248</v>
      </c>
      <c r="K72" s="59" t="s">
        <v>1496</v>
      </c>
      <c r="L72" s="59" t="s">
        <v>1270</v>
      </c>
      <c r="M72" s="59" t="s">
        <v>1967</v>
      </c>
      <c r="N72" s="59" t="s">
        <v>1891</v>
      </c>
      <c r="O72" s="59" t="s">
        <v>1891</v>
      </c>
      <c r="P72" s="59" t="b">
        <f>List129[[#This Row],[Income2018]]=List129[[#This Row],[Income]]</f>
        <v>0</v>
      </c>
      <c r="Q72" s="59" t="s">
        <v>2066</v>
      </c>
      <c r="R72" s="59" t="s">
        <v>240</v>
      </c>
      <c r="T72" s="59" t="s">
        <v>240</v>
      </c>
      <c r="U72" s="59" t="s">
        <v>240</v>
      </c>
      <c r="V72" s="59" t="s">
        <v>240</v>
      </c>
      <c r="W72" s="60" t="s">
        <v>1886</v>
      </c>
      <c r="X72" s="60" t="s">
        <v>1886</v>
      </c>
      <c r="Y72" s="60">
        <v>1</v>
      </c>
      <c r="Z72" s="61">
        <f>IF(OR(List129[[#This Row],[Fragile 2018]]=1,List129[[#This Row],[Income]]="LDC"),1,"")</f>
        <v>1</v>
      </c>
      <c r="AA72" s="59" t="s">
        <v>1886</v>
      </c>
      <c r="AB72" s="59" t="s">
        <v>1886</v>
      </c>
      <c r="AC72" s="59" t="s">
        <v>240</v>
      </c>
      <c r="AD72" s="59" t="s">
        <v>240</v>
      </c>
      <c r="AE72" s="59" t="s">
        <v>240</v>
      </c>
      <c r="AF72" s="59" t="s">
        <v>1886</v>
      </c>
      <c r="AG72" s="59" t="s">
        <v>240</v>
      </c>
      <c r="AH72" s="59" t="s">
        <v>1886</v>
      </c>
      <c r="AI72" s="59" t="s">
        <v>240</v>
      </c>
      <c r="AJ72" s="59" t="s">
        <v>240</v>
      </c>
      <c r="AK72" s="59" t="s">
        <v>240</v>
      </c>
      <c r="AL72" s="59" t="s">
        <v>240</v>
      </c>
      <c r="AM72" s="59">
        <v>147</v>
      </c>
      <c r="AN72" s="59" t="s">
        <v>1495</v>
      </c>
    </row>
    <row r="73" spans="1:40" x14ac:dyDescent="0.2">
      <c r="A73" s="59">
        <v>274</v>
      </c>
      <c r="B73" s="59">
        <v>614</v>
      </c>
      <c r="C73" s="59" t="s">
        <v>1498</v>
      </c>
      <c r="D73" s="59" t="s">
        <v>1499</v>
      </c>
      <c r="E73" s="59" t="s">
        <v>1497</v>
      </c>
      <c r="F73" s="59" t="s">
        <v>1500</v>
      </c>
      <c r="G73" s="59" t="s">
        <v>2067</v>
      </c>
      <c r="I73" s="59">
        <v>798</v>
      </c>
      <c r="J73" s="59">
        <v>614</v>
      </c>
      <c r="K73" s="59" t="s">
        <v>2068</v>
      </c>
      <c r="L73" s="59" t="s">
        <v>1253</v>
      </c>
      <c r="M73" s="59" t="s">
        <v>1967</v>
      </c>
      <c r="N73" s="59" t="s">
        <v>1891</v>
      </c>
      <c r="O73" s="59" t="s">
        <v>1891</v>
      </c>
      <c r="P73" s="59" t="b">
        <f>List129[[#This Row],[Income2018]]=List129[[#This Row],[Income]]</f>
        <v>0</v>
      </c>
      <c r="Q73" s="59" t="s">
        <v>2069</v>
      </c>
      <c r="R73" s="59" t="s">
        <v>240</v>
      </c>
      <c r="T73" s="59" t="s">
        <v>240</v>
      </c>
      <c r="U73" s="59" t="s">
        <v>240</v>
      </c>
      <c r="V73" s="59" t="s">
        <v>1886</v>
      </c>
      <c r="W73" s="60" t="s">
        <v>1886</v>
      </c>
      <c r="X73" s="60" t="s">
        <v>240</v>
      </c>
      <c r="Y73" s="60" t="s">
        <v>240</v>
      </c>
      <c r="Z73" s="61" t="str">
        <f>IF(OR(List129[[#This Row],[Fragile 2018]]=1,List129[[#This Row],[Income]]="LDC"),1,"")</f>
        <v/>
      </c>
      <c r="AA73" s="59" t="s">
        <v>240</v>
      </c>
      <c r="AB73" s="59" t="s">
        <v>1886</v>
      </c>
      <c r="AC73" s="59" t="s">
        <v>240</v>
      </c>
      <c r="AD73" s="59" t="s">
        <v>240</v>
      </c>
      <c r="AE73" s="59" t="s">
        <v>240</v>
      </c>
      <c r="AF73" s="59" t="s">
        <v>240</v>
      </c>
      <c r="AG73" s="59" t="s">
        <v>240</v>
      </c>
      <c r="AH73" s="59" t="s">
        <v>240</v>
      </c>
      <c r="AI73" s="59" t="s">
        <v>240</v>
      </c>
      <c r="AJ73" s="59" t="s">
        <v>1886</v>
      </c>
      <c r="AK73" s="59" t="s">
        <v>240</v>
      </c>
      <c r="AL73" s="59" t="s">
        <v>240</v>
      </c>
      <c r="AM73" s="59">
        <v>248</v>
      </c>
      <c r="AN73" s="59" t="s">
        <v>1498</v>
      </c>
    </row>
    <row r="74" spans="1:40" x14ac:dyDescent="0.2">
      <c r="A74" s="59">
        <v>622</v>
      </c>
      <c r="B74" s="59">
        <v>836</v>
      </c>
      <c r="C74" s="59" t="s">
        <v>1501</v>
      </c>
      <c r="D74" s="59" t="s">
        <v>1501</v>
      </c>
      <c r="E74" s="59" t="s">
        <v>1501</v>
      </c>
      <c r="F74" s="59" t="s">
        <v>1502</v>
      </c>
      <c r="G74" s="59" t="s">
        <v>2070</v>
      </c>
      <c r="I74" s="59">
        <v>889</v>
      </c>
      <c r="J74" s="59">
        <v>836</v>
      </c>
      <c r="K74" s="59" t="s">
        <v>1502</v>
      </c>
      <c r="L74" s="59" t="s">
        <v>1394</v>
      </c>
      <c r="M74" s="59" t="s">
        <v>1888</v>
      </c>
      <c r="N74" s="59" t="s">
        <v>1888</v>
      </c>
      <c r="O74" s="59" t="s">
        <v>1888</v>
      </c>
      <c r="P74" s="59" t="b">
        <f>List129[[#This Row],[Income2018]]=List129[[#This Row],[Income]]</f>
        <v>1</v>
      </c>
      <c r="Q74" s="59" t="s">
        <v>2071</v>
      </c>
      <c r="R74" s="59" t="s">
        <v>240</v>
      </c>
      <c r="T74" s="59" t="s">
        <v>1886</v>
      </c>
      <c r="U74" s="59" t="s">
        <v>1886</v>
      </c>
      <c r="V74" s="59" t="s">
        <v>240</v>
      </c>
      <c r="W74" s="60" t="s">
        <v>1886</v>
      </c>
      <c r="X74" s="60" t="s">
        <v>1886</v>
      </c>
      <c r="Y74" s="60" t="s">
        <v>240</v>
      </c>
      <c r="Z74" s="61">
        <f>IF(OR(List129[[#This Row],[Fragile 2018]]=1,List129[[#This Row],[Income]]="LDC"),1,"")</f>
        <v>1</v>
      </c>
      <c r="AA74" s="59" t="s">
        <v>1886</v>
      </c>
      <c r="AB74" s="59" t="s">
        <v>1886</v>
      </c>
      <c r="AC74" s="59" t="s">
        <v>240</v>
      </c>
      <c r="AD74" s="59" t="s">
        <v>240</v>
      </c>
      <c r="AE74" s="59" t="s">
        <v>240</v>
      </c>
      <c r="AF74" s="59" t="s">
        <v>240</v>
      </c>
      <c r="AG74" s="59" t="s">
        <v>240</v>
      </c>
      <c r="AH74" s="59" t="s">
        <v>240</v>
      </c>
      <c r="AI74" s="59" t="s">
        <v>240</v>
      </c>
      <c r="AJ74" s="59" t="s">
        <v>240</v>
      </c>
      <c r="AK74" s="59" t="s">
        <v>1886</v>
      </c>
      <c r="AL74" s="59" t="s">
        <v>240</v>
      </c>
      <c r="AM74" s="59">
        <v>281</v>
      </c>
      <c r="AN74" s="59" t="s">
        <v>1501</v>
      </c>
    </row>
    <row r="75" spans="1:40" x14ac:dyDescent="0.2">
      <c r="A75" s="59">
        <v>219</v>
      </c>
      <c r="B75" s="59">
        <v>740</v>
      </c>
      <c r="C75" s="59" t="s">
        <v>1504</v>
      </c>
      <c r="D75" s="59" t="s">
        <v>1505</v>
      </c>
      <c r="E75" s="59" t="s">
        <v>1503</v>
      </c>
      <c r="F75" s="59" t="s">
        <v>1506</v>
      </c>
      <c r="G75" s="59" t="s">
        <v>2072</v>
      </c>
      <c r="I75" s="59">
        <v>798</v>
      </c>
      <c r="J75" s="59">
        <v>740</v>
      </c>
      <c r="K75" s="59" t="s">
        <v>2073</v>
      </c>
      <c r="L75" s="59" t="s">
        <v>1253</v>
      </c>
      <c r="M75" s="59" t="s">
        <v>1967</v>
      </c>
      <c r="N75" s="59" t="s">
        <v>1967</v>
      </c>
      <c r="O75" s="59" t="s">
        <v>1967</v>
      </c>
      <c r="P75" s="59" t="b">
        <f>List129[[#This Row],[Income2018]]=List129[[#This Row],[Income]]</f>
        <v>1</v>
      </c>
      <c r="Q75" s="59" t="s">
        <v>2074</v>
      </c>
      <c r="R75" s="59" t="s">
        <v>240</v>
      </c>
      <c r="T75" s="59" t="s">
        <v>240</v>
      </c>
      <c r="U75" s="59" t="s">
        <v>240</v>
      </c>
      <c r="V75" s="59" t="s">
        <v>240</v>
      </c>
      <c r="W75" s="60" t="s">
        <v>1886</v>
      </c>
      <c r="X75" s="60" t="s">
        <v>1886</v>
      </c>
      <c r="Y75" s="60">
        <v>1</v>
      </c>
      <c r="Z75" s="61">
        <f>IF(OR(List129[[#This Row],[Fragile 2018]]=1,List129[[#This Row],[Income]]="LDC"),1,"")</f>
        <v>1</v>
      </c>
      <c r="AA75" s="59" t="s">
        <v>240</v>
      </c>
      <c r="AB75" s="59" t="s">
        <v>1886</v>
      </c>
      <c r="AC75" s="59" t="s">
        <v>240</v>
      </c>
      <c r="AD75" s="59" t="s">
        <v>240</v>
      </c>
      <c r="AE75" s="59" t="s">
        <v>240</v>
      </c>
      <c r="AF75" s="59" t="s">
        <v>240</v>
      </c>
      <c r="AG75" s="59" t="s">
        <v>240</v>
      </c>
      <c r="AH75" s="59" t="s">
        <v>240</v>
      </c>
      <c r="AI75" s="59" t="s">
        <v>240</v>
      </c>
      <c r="AJ75" s="59" t="s">
        <v>1886</v>
      </c>
      <c r="AK75" s="59" t="s">
        <v>240</v>
      </c>
      <c r="AL75" s="59" t="s">
        <v>240</v>
      </c>
      <c r="AM75" s="59">
        <v>265</v>
      </c>
      <c r="AN75" s="59" t="s">
        <v>1504</v>
      </c>
    </row>
    <row r="76" spans="1:40" x14ac:dyDescent="0.2">
      <c r="A76" s="59">
        <v>699</v>
      </c>
      <c r="B76" s="59">
        <v>57</v>
      </c>
      <c r="C76" s="59" t="s">
        <v>1507</v>
      </c>
      <c r="D76" s="59" t="s">
        <v>1507</v>
      </c>
      <c r="E76" s="59" t="s">
        <v>1507</v>
      </c>
      <c r="F76" s="59" t="s">
        <v>2075</v>
      </c>
      <c r="G76" s="59" t="s">
        <v>2076</v>
      </c>
      <c r="I76" s="59">
        <v>89</v>
      </c>
      <c r="J76" s="59">
        <v>57</v>
      </c>
      <c r="K76" s="59" t="s">
        <v>2075</v>
      </c>
      <c r="L76" s="59" t="s">
        <v>1259</v>
      </c>
      <c r="M76" s="59" t="s">
        <v>1892</v>
      </c>
      <c r="N76" s="59" t="s">
        <v>1891</v>
      </c>
      <c r="O76" s="59" t="s">
        <v>1891</v>
      </c>
      <c r="P76" s="59" t="b">
        <f>List129[[#This Row],[Income2018]]=List129[[#This Row],[Income]]</f>
        <v>0</v>
      </c>
      <c r="Q76" s="59" t="s">
        <v>2077</v>
      </c>
      <c r="R76" s="59" t="s">
        <v>240</v>
      </c>
      <c r="T76" s="59" t="s">
        <v>240</v>
      </c>
      <c r="U76" s="59" t="s">
        <v>240</v>
      </c>
      <c r="V76" s="59" t="s">
        <v>240</v>
      </c>
      <c r="W76" s="60" t="s">
        <v>1886</v>
      </c>
      <c r="X76" s="60" t="s">
        <v>1886</v>
      </c>
      <c r="Y76" s="60" t="s">
        <v>240</v>
      </c>
      <c r="Z76" s="61" t="str">
        <f>IF(OR(List129[[#This Row],[Fragile 2018]]=1,List129[[#This Row],[Income]]="LDC"),1,"")</f>
        <v/>
      </c>
      <c r="AA76" s="59" t="s">
        <v>240</v>
      </c>
      <c r="AB76" s="59" t="s">
        <v>1886</v>
      </c>
      <c r="AC76" s="59" t="s">
        <v>240</v>
      </c>
      <c r="AD76" s="59" t="s">
        <v>240</v>
      </c>
      <c r="AE76" s="59" t="s">
        <v>240</v>
      </c>
      <c r="AF76" s="59" t="s">
        <v>240</v>
      </c>
      <c r="AG76" s="59" t="s">
        <v>240</v>
      </c>
      <c r="AH76" s="59" t="s">
        <v>240</v>
      </c>
      <c r="AI76" s="59" t="s">
        <v>240</v>
      </c>
      <c r="AJ76" s="59" t="s">
        <v>240</v>
      </c>
      <c r="AK76" s="59" t="s">
        <v>240</v>
      </c>
      <c r="AL76" s="59" t="s">
        <v>1886</v>
      </c>
      <c r="AM76" s="59">
        <v>113</v>
      </c>
      <c r="AN76" s="59" t="s">
        <v>1507</v>
      </c>
    </row>
    <row r="77" spans="1:40" x14ac:dyDescent="0.2">
      <c r="A77" s="59">
        <v>136</v>
      </c>
      <c r="B77" s="59">
        <v>62</v>
      </c>
      <c r="C77" s="59" t="s">
        <v>1509</v>
      </c>
      <c r="D77" s="59" t="s">
        <v>1510</v>
      </c>
      <c r="E77" s="59" t="s">
        <v>1508</v>
      </c>
      <c r="F77" s="59" t="s">
        <v>1511</v>
      </c>
      <c r="G77" s="59" t="s">
        <v>2078</v>
      </c>
      <c r="I77" s="59">
        <v>89</v>
      </c>
      <c r="J77" s="59">
        <v>62</v>
      </c>
      <c r="K77" s="59" t="s">
        <v>2079</v>
      </c>
      <c r="L77" s="59" t="s">
        <v>1259</v>
      </c>
      <c r="M77" s="59" t="s">
        <v>1892</v>
      </c>
      <c r="O77" s="59" t="s">
        <v>1901</v>
      </c>
      <c r="P77" s="59" t="b">
        <f>List129[[#This Row],[Income2018]]=List129[[#This Row],[Income]]</f>
        <v>0</v>
      </c>
      <c r="Q77" s="59" t="s">
        <v>2080</v>
      </c>
      <c r="R77" s="59" t="s">
        <v>240</v>
      </c>
      <c r="T77" s="59" t="s">
        <v>240</v>
      </c>
      <c r="U77" s="59" t="s">
        <v>240</v>
      </c>
      <c r="V77" s="59" t="s">
        <v>240</v>
      </c>
      <c r="W77" s="60" t="s">
        <v>240</v>
      </c>
      <c r="X77" s="60" t="s">
        <v>240</v>
      </c>
      <c r="Y77" s="60" t="s">
        <v>240</v>
      </c>
      <c r="Z77" s="61" t="str">
        <f>IF(OR(List129[[#This Row],[Fragile 2018]]=1,List129[[#This Row],[Income]]="LDC"),1,"")</f>
        <v/>
      </c>
      <c r="AA77" s="59" t="s">
        <v>240</v>
      </c>
      <c r="AB77" s="59" t="s">
        <v>1886</v>
      </c>
      <c r="AC77" s="59" t="s">
        <v>240</v>
      </c>
      <c r="AD77" s="59" t="s">
        <v>240</v>
      </c>
      <c r="AE77" s="59" t="s">
        <v>240</v>
      </c>
      <c r="AF77" s="59" t="s">
        <v>240</v>
      </c>
      <c r="AG77" s="59" t="s">
        <v>240</v>
      </c>
      <c r="AH77" s="59" t="s">
        <v>240</v>
      </c>
      <c r="AI77" s="59" t="s">
        <v>240</v>
      </c>
      <c r="AJ77" s="59" t="s">
        <v>240</v>
      </c>
      <c r="AK77" s="59" t="s">
        <v>240</v>
      </c>
      <c r="AL77" s="59" t="s">
        <v>1886</v>
      </c>
      <c r="AM77" s="59">
        <v>104</v>
      </c>
      <c r="AN77" s="59" t="s">
        <v>1509</v>
      </c>
    </row>
    <row r="78" spans="1:40" x14ac:dyDescent="0.2">
      <c r="A78" s="59">
        <v>210</v>
      </c>
      <c r="B78" s="59">
        <v>745</v>
      </c>
      <c r="C78" s="59" t="s">
        <v>902</v>
      </c>
      <c r="D78" s="59" t="s">
        <v>902</v>
      </c>
      <c r="E78" s="59" t="s">
        <v>902</v>
      </c>
      <c r="F78" s="59" t="s">
        <v>1512</v>
      </c>
      <c r="G78" s="59" t="s">
        <v>2081</v>
      </c>
      <c r="H78" s="59" t="s">
        <v>902</v>
      </c>
      <c r="I78" s="59">
        <v>798</v>
      </c>
      <c r="J78" s="59">
        <v>745</v>
      </c>
      <c r="K78" s="59" t="s">
        <v>1512</v>
      </c>
      <c r="L78" s="59" t="s">
        <v>1253</v>
      </c>
      <c r="M78" s="59" t="s">
        <v>1888</v>
      </c>
      <c r="N78" s="59" t="s">
        <v>1888</v>
      </c>
      <c r="O78" s="59" t="s">
        <v>1888</v>
      </c>
      <c r="P78" s="59" t="b">
        <f>List129[[#This Row],[Income2018]]=List129[[#This Row],[Income]]</f>
        <v>1</v>
      </c>
      <c r="Q78" s="59" t="s">
        <v>2082</v>
      </c>
      <c r="R78" s="59" t="s">
        <v>240</v>
      </c>
      <c r="T78" s="59" t="s">
        <v>1886</v>
      </c>
      <c r="U78" s="59" t="s">
        <v>240</v>
      </c>
      <c r="V78" s="59" t="s">
        <v>1886</v>
      </c>
      <c r="W78" s="59" t="s">
        <v>240</v>
      </c>
      <c r="X78" s="59" t="s">
        <v>240</v>
      </c>
      <c r="Y78" s="59">
        <v>1</v>
      </c>
      <c r="Z78" s="61">
        <f>IF(OR(List129[[#This Row],[Fragile 2018]]=1,List129[[#This Row],[Income]]="LDC"),1,"")</f>
        <v>1</v>
      </c>
      <c r="AA78" s="59" t="s">
        <v>240</v>
      </c>
      <c r="AB78" s="59" t="s">
        <v>1886</v>
      </c>
      <c r="AC78" s="59" t="s">
        <v>240</v>
      </c>
      <c r="AD78" s="59" t="s">
        <v>240</v>
      </c>
      <c r="AE78" s="59" t="s">
        <v>240</v>
      </c>
      <c r="AF78" s="59" t="s">
        <v>240</v>
      </c>
      <c r="AG78" s="59" t="s">
        <v>240</v>
      </c>
      <c r="AH78" s="59" t="s">
        <v>240</v>
      </c>
      <c r="AI78" s="59" t="s">
        <v>240</v>
      </c>
      <c r="AJ78" s="59" t="s">
        <v>1886</v>
      </c>
      <c r="AK78" s="59" t="s">
        <v>240</v>
      </c>
      <c r="AL78" s="59" t="s">
        <v>240</v>
      </c>
      <c r="AM78" s="59">
        <v>266</v>
      </c>
      <c r="AN78" s="59" t="s">
        <v>902</v>
      </c>
    </row>
    <row r="79" spans="1:40" x14ac:dyDescent="0.2">
      <c r="A79" s="59">
        <v>301</v>
      </c>
      <c r="B79" s="59">
        <v>249</v>
      </c>
      <c r="C79" s="59" t="s">
        <v>1513</v>
      </c>
      <c r="D79" s="59" t="s">
        <v>1513</v>
      </c>
      <c r="E79" s="59" t="s">
        <v>1513</v>
      </c>
      <c r="F79" s="59" t="s">
        <v>1514</v>
      </c>
      <c r="G79" s="59" t="s">
        <v>2083</v>
      </c>
      <c r="I79" s="59">
        <v>289</v>
      </c>
      <c r="J79" s="59">
        <v>249</v>
      </c>
      <c r="K79" s="59" t="s">
        <v>2084</v>
      </c>
      <c r="L79" s="59" t="s">
        <v>1270</v>
      </c>
      <c r="M79" s="59" t="s">
        <v>1888</v>
      </c>
      <c r="N79" s="59" t="s">
        <v>1888</v>
      </c>
      <c r="O79" s="59" t="s">
        <v>1888</v>
      </c>
      <c r="P79" s="59" t="b">
        <f>List129[[#This Row],[Income2018]]=List129[[#This Row],[Income]]</f>
        <v>1</v>
      </c>
      <c r="Q79" s="59" t="s">
        <v>2085</v>
      </c>
      <c r="R79" s="59" t="s">
        <v>240</v>
      </c>
      <c r="T79" s="59" t="s">
        <v>1886</v>
      </c>
      <c r="U79" s="59" t="s">
        <v>240</v>
      </c>
      <c r="V79" s="59" t="s">
        <v>1886</v>
      </c>
      <c r="W79" s="60" t="s">
        <v>240</v>
      </c>
      <c r="X79" s="60" t="s">
        <v>240</v>
      </c>
      <c r="Y79" s="60" t="s">
        <v>240</v>
      </c>
      <c r="Z79" s="61">
        <f>IF(OR(List129[[#This Row],[Fragile 2018]]=1,List129[[#This Row],[Income]]="LDC"),1,"")</f>
        <v>1</v>
      </c>
      <c r="AA79" s="59" t="s">
        <v>1886</v>
      </c>
      <c r="AB79" s="59" t="s">
        <v>1886</v>
      </c>
      <c r="AC79" s="59" t="s">
        <v>240</v>
      </c>
      <c r="AD79" s="59" t="s">
        <v>240</v>
      </c>
      <c r="AE79" s="59" t="s">
        <v>240</v>
      </c>
      <c r="AF79" s="59" t="s">
        <v>1886</v>
      </c>
      <c r="AG79" s="59" t="s">
        <v>240</v>
      </c>
      <c r="AH79" s="59" t="s">
        <v>1886</v>
      </c>
      <c r="AI79" s="59" t="s">
        <v>240</v>
      </c>
      <c r="AJ79" s="59" t="s">
        <v>240</v>
      </c>
      <c r="AK79" s="59" t="s">
        <v>240</v>
      </c>
      <c r="AL79" s="59" t="s">
        <v>240</v>
      </c>
      <c r="AM79" s="59">
        <v>148</v>
      </c>
      <c r="AN79" s="59" t="s">
        <v>1513</v>
      </c>
    </row>
    <row r="80" spans="1:40" x14ac:dyDescent="0.2">
      <c r="A80" s="59">
        <v>258</v>
      </c>
      <c r="B80" s="59">
        <v>555</v>
      </c>
      <c r="C80" s="59" t="s">
        <v>1516</v>
      </c>
      <c r="D80" s="59" t="s">
        <v>1517</v>
      </c>
      <c r="E80" s="59" t="s">
        <v>1515</v>
      </c>
      <c r="F80" s="59" t="s">
        <v>1518</v>
      </c>
      <c r="G80" s="59" t="s">
        <v>2086</v>
      </c>
      <c r="I80" s="59">
        <v>798</v>
      </c>
      <c r="J80" s="59">
        <v>555</v>
      </c>
      <c r="K80" s="59" t="s">
        <v>2087</v>
      </c>
      <c r="L80" s="59" t="s">
        <v>1253</v>
      </c>
      <c r="M80" s="59" t="s">
        <v>1892</v>
      </c>
      <c r="N80" s="59" t="s">
        <v>1892</v>
      </c>
      <c r="O80" s="59" t="s">
        <v>1892</v>
      </c>
      <c r="P80" s="59" t="b">
        <f>List129[[#This Row],[Income2018]]=List129[[#This Row],[Income]]</f>
        <v>1</v>
      </c>
      <c r="Q80" s="59" t="s">
        <v>2088</v>
      </c>
      <c r="R80" s="59" t="s">
        <v>240</v>
      </c>
      <c r="T80" s="59" t="s">
        <v>240</v>
      </c>
      <c r="U80" s="59" t="s">
        <v>240</v>
      </c>
      <c r="V80" s="59" t="s">
        <v>240</v>
      </c>
      <c r="W80" s="60" t="s">
        <v>240</v>
      </c>
      <c r="X80" s="60" t="s">
        <v>240</v>
      </c>
      <c r="Y80" s="60" t="s">
        <v>240</v>
      </c>
      <c r="Z80" s="61" t="str">
        <f>IF(OR(List129[[#This Row],[Fragile 2018]]=1,List129[[#This Row],[Income]]="LDC"),1,"")</f>
        <v/>
      </c>
      <c r="AA80" s="59" t="s">
        <v>240</v>
      </c>
      <c r="AB80" s="59" t="s">
        <v>1886</v>
      </c>
      <c r="AC80" s="59" t="s">
        <v>240</v>
      </c>
      <c r="AD80" s="59" t="s">
        <v>240</v>
      </c>
      <c r="AE80" s="59" t="s">
        <v>240</v>
      </c>
      <c r="AF80" s="59" t="s">
        <v>240</v>
      </c>
      <c r="AG80" s="59" t="s">
        <v>240</v>
      </c>
      <c r="AH80" s="59" t="s">
        <v>240</v>
      </c>
      <c r="AI80" s="59" t="s">
        <v>240</v>
      </c>
      <c r="AJ80" s="59" t="s">
        <v>1886</v>
      </c>
      <c r="AK80" s="59" t="s">
        <v>240</v>
      </c>
      <c r="AL80" s="59" t="s">
        <v>240</v>
      </c>
      <c r="AM80" s="59">
        <v>231</v>
      </c>
      <c r="AN80" s="59" t="s">
        <v>1516</v>
      </c>
    </row>
    <row r="81" spans="1:40" x14ac:dyDescent="0.2">
      <c r="A81" s="59">
        <v>318</v>
      </c>
      <c r="B81" s="59">
        <v>251</v>
      </c>
      <c r="C81" s="59" t="s">
        <v>1519</v>
      </c>
      <c r="D81" s="59" t="s">
        <v>1519</v>
      </c>
      <c r="E81" s="59" t="s">
        <v>1519</v>
      </c>
      <c r="F81" s="59" t="s">
        <v>1520</v>
      </c>
      <c r="G81" s="59" t="s">
        <v>2089</v>
      </c>
      <c r="I81" s="59">
        <v>289</v>
      </c>
      <c r="J81" s="59">
        <v>251</v>
      </c>
      <c r="K81" s="59" t="s">
        <v>2090</v>
      </c>
      <c r="L81" s="59" t="s">
        <v>1270</v>
      </c>
      <c r="M81" s="59" t="s">
        <v>1888</v>
      </c>
      <c r="N81" s="59" t="s">
        <v>1888</v>
      </c>
      <c r="O81" s="59" t="s">
        <v>1888</v>
      </c>
      <c r="P81" s="59" t="b">
        <f>List129[[#This Row],[Income2018]]=List129[[#This Row],[Income]]</f>
        <v>1</v>
      </c>
      <c r="Q81" s="59" t="s">
        <v>2091</v>
      </c>
      <c r="R81" s="59" t="s">
        <v>240</v>
      </c>
      <c r="T81" s="59" t="s">
        <v>1886</v>
      </c>
      <c r="U81" s="59" t="s">
        <v>240</v>
      </c>
      <c r="V81" s="59" t="s">
        <v>240</v>
      </c>
      <c r="W81" s="60" t="s">
        <v>1886</v>
      </c>
      <c r="X81" s="60" t="s">
        <v>1886</v>
      </c>
      <c r="Y81" s="60">
        <v>1</v>
      </c>
      <c r="Z81" s="61">
        <f>IF(OR(List129[[#This Row],[Fragile 2018]]=1,List129[[#This Row],[Income]]="LDC"),1,"")</f>
        <v>1</v>
      </c>
      <c r="AA81" s="59" t="s">
        <v>1886</v>
      </c>
      <c r="AB81" s="59" t="s">
        <v>1886</v>
      </c>
      <c r="AC81" s="59" t="s">
        <v>1886</v>
      </c>
      <c r="AD81" s="59" t="s">
        <v>1925</v>
      </c>
      <c r="AE81" s="59" t="s">
        <v>240</v>
      </c>
      <c r="AF81" s="59" t="s">
        <v>1886</v>
      </c>
      <c r="AG81" s="59" t="s">
        <v>240</v>
      </c>
      <c r="AH81" s="59" t="s">
        <v>1886</v>
      </c>
      <c r="AI81" s="59" t="s">
        <v>240</v>
      </c>
      <c r="AJ81" s="59" t="s">
        <v>240</v>
      </c>
      <c r="AK81" s="59" t="s">
        <v>240</v>
      </c>
      <c r="AL81" s="59" t="s">
        <v>240</v>
      </c>
      <c r="AM81" s="59">
        <v>149</v>
      </c>
      <c r="AN81" s="59" t="s">
        <v>1519</v>
      </c>
    </row>
    <row r="82" spans="1:40" x14ac:dyDescent="0.2">
      <c r="A82" s="59">
        <v>353</v>
      </c>
      <c r="B82" s="59">
        <v>133</v>
      </c>
      <c r="C82" s="59" t="s">
        <v>1522</v>
      </c>
      <c r="D82" s="59" t="s">
        <v>1523</v>
      </c>
      <c r="E82" s="59" t="s">
        <v>1521</v>
      </c>
      <c r="F82" s="59" t="s">
        <v>1524</v>
      </c>
      <c r="G82" s="59" t="s">
        <v>2092</v>
      </c>
      <c r="I82" s="59">
        <v>189</v>
      </c>
      <c r="J82" s="59">
        <v>133</v>
      </c>
      <c r="K82" s="59" t="s">
        <v>2093</v>
      </c>
      <c r="L82" s="59" t="s">
        <v>1265</v>
      </c>
      <c r="M82" s="59" t="s">
        <v>1892</v>
      </c>
      <c r="N82" s="59" t="s">
        <v>1892</v>
      </c>
      <c r="O82" s="59" t="s">
        <v>1892</v>
      </c>
      <c r="P82" s="59" t="b">
        <f>List129[[#This Row],[Income2018]]=List129[[#This Row],[Income]]</f>
        <v>1</v>
      </c>
      <c r="Q82" s="59" t="s">
        <v>2094</v>
      </c>
      <c r="R82" s="59" t="s">
        <v>240</v>
      </c>
      <c r="T82" s="59" t="s">
        <v>240</v>
      </c>
      <c r="U82" s="59" t="s">
        <v>240</v>
      </c>
      <c r="V82" s="59" t="s">
        <v>240</v>
      </c>
      <c r="W82" s="60" t="s">
        <v>1886</v>
      </c>
      <c r="X82" s="60" t="s">
        <v>1886</v>
      </c>
      <c r="Y82" s="60">
        <v>1</v>
      </c>
      <c r="Z82" s="61">
        <f>IF(OR(List129[[#This Row],[Fragile 2018]]=1,List129[[#This Row],[Income]]="LDC"),1,"")</f>
        <v>1</v>
      </c>
      <c r="AA82" s="59" t="s">
        <v>240</v>
      </c>
      <c r="AB82" s="59" t="s">
        <v>1886</v>
      </c>
      <c r="AC82" s="59" t="s">
        <v>240</v>
      </c>
      <c r="AD82" s="59" t="s">
        <v>240</v>
      </c>
      <c r="AE82" s="59" t="s">
        <v>240</v>
      </c>
      <c r="AF82" s="59" t="s">
        <v>1886</v>
      </c>
      <c r="AG82" s="59" t="s">
        <v>1886</v>
      </c>
      <c r="AH82" s="59" t="s">
        <v>240</v>
      </c>
      <c r="AI82" s="59" t="s">
        <v>240</v>
      </c>
      <c r="AJ82" s="59" t="s">
        <v>240</v>
      </c>
      <c r="AK82" s="59" t="s">
        <v>240</v>
      </c>
      <c r="AL82" s="59" t="s">
        <v>240</v>
      </c>
      <c r="AM82" s="59">
        <v>119</v>
      </c>
      <c r="AN82" s="59" t="s">
        <v>1522</v>
      </c>
    </row>
    <row r="83" spans="1:40" x14ac:dyDescent="0.2">
      <c r="A83" s="59">
        <v>137</v>
      </c>
      <c r="B83" s="59">
        <v>66</v>
      </c>
      <c r="C83" s="59" t="s">
        <v>1526</v>
      </c>
      <c r="D83" s="59" t="s">
        <v>1527</v>
      </c>
      <c r="E83" s="59" t="s">
        <v>1525</v>
      </c>
      <c r="F83" s="59" t="s">
        <v>1528</v>
      </c>
      <c r="G83" s="59" t="s">
        <v>2095</v>
      </c>
      <c r="I83" s="59">
        <v>89</v>
      </c>
      <c r="J83" s="59">
        <v>66</v>
      </c>
      <c r="K83" s="59" t="s">
        <v>2096</v>
      </c>
      <c r="L83" s="59" t="s">
        <v>1259</v>
      </c>
      <c r="M83" s="59" t="s">
        <v>1891</v>
      </c>
      <c r="N83" s="59" t="s">
        <v>1892</v>
      </c>
      <c r="O83" s="59" t="s">
        <v>1892</v>
      </c>
      <c r="P83" s="59" t="b">
        <f>List129[[#This Row],[Income2018]]=List129[[#This Row],[Income]]</f>
        <v>0</v>
      </c>
      <c r="Q83" s="59" t="s">
        <v>2097</v>
      </c>
      <c r="R83" s="59" t="s">
        <v>240</v>
      </c>
      <c r="T83" s="59" t="s">
        <v>240</v>
      </c>
      <c r="U83" s="59" t="s">
        <v>240</v>
      </c>
      <c r="V83" s="59" t="s">
        <v>1886</v>
      </c>
      <c r="W83" s="60" t="s">
        <v>240</v>
      </c>
      <c r="X83" s="60" t="s">
        <v>240</v>
      </c>
      <c r="Y83" s="60" t="s">
        <v>240</v>
      </c>
      <c r="Z83" s="61" t="str">
        <f>IF(OR(List129[[#This Row],[Fragile 2018]]=1,List129[[#This Row],[Income]]="LDC"),1,"")</f>
        <v/>
      </c>
      <c r="AA83" s="59" t="s">
        <v>240</v>
      </c>
      <c r="AB83" s="59" t="s">
        <v>1886</v>
      </c>
      <c r="AC83" s="59" t="s">
        <v>240</v>
      </c>
      <c r="AD83" s="59" t="s">
        <v>240</v>
      </c>
      <c r="AE83" s="59" t="s">
        <v>240</v>
      </c>
      <c r="AF83" s="59" t="s">
        <v>240</v>
      </c>
      <c r="AG83" s="59" t="s">
        <v>240</v>
      </c>
      <c r="AH83" s="59" t="s">
        <v>240</v>
      </c>
      <c r="AI83" s="59" t="s">
        <v>240</v>
      </c>
      <c r="AJ83" s="59" t="s">
        <v>240</v>
      </c>
      <c r="AK83" s="59" t="s">
        <v>240</v>
      </c>
      <c r="AL83" s="59" t="s">
        <v>1886</v>
      </c>
      <c r="AM83" s="59">
        <v>105</v>
      </c>
      <c r="AN83" s="59" t="s">
        <v>1526</v>
      </c>
    </row>
    <row r="84" spans="1:40" x14ac:dyDescent="0.2">
      <c r="A84" s="59">
        <v>324</v>
      </c>
      <c r="B84" s="59">
        <v>252</v>
      </c>
      <c r="C84" s="59" t="s">
        <v>1311</v>
      </c>
      <c r="D84" s="59" t="s">
        <v>1311</v>
      </c>
      <c r="E84" s="59" t="s">
        <v>1312</v>
      </c>
      <c r="F84" s="59" t="s">
        <v>1529</v>
      </c>
      <c r="G84" s="59" t="s">
        <v>2098</v>
      </c>
      <c r="H84" s="59" t="s">
        <v>1311</v>
      </c>
      <c r="I84" s="59">
        <v>289</v>
      </c>
      <c r="J84" s="59">
        <v>252</v>
      </c>
      <c r="K84" s="59" t="s">
        <v>2099</v>
      </c>
      <c r="L84" s="59" t="s">
        <v>1270</v>
      </c>
      <c r="M84" s="59" t="s">
        <v>1888</v>
      </c>
      <c r="N84" s="59" t="s">
        <v>1888</v>
      </c>
      <c r="O84" s="59" t="s">
        <v>1888</v>
      </c>
      <c r="P84" s="59" t="b">
        <f>List129[[#This Row],[Income2018]]=List129[[#This Row],[Income]]</f>
        <v>1</v>
      </c>
      <c r="Q84" s="59" t="s">
        <v>2100</v>
      </c>
      <c r="R84" s="59" t="s">
        <v>240</v>
      </c>
      <c r="T84" s="59" t="s">
        <v>1886</v>
      </c>
      <c r="U84" s="59" t="s">
        <v>240</v>
      </c>
      <c r="V84" s="59" t="s">
        <v>240</v>
      </c>
      <c r="W84" s="60" t="s">
        <v>1886</v>
      </c>
      <c r="X84" s="60" t="s">
        <v>1886</v>
      </c>
      <c r="Y84" s="60">
        <v>1</v>
      </c>
      <c r="Z84" s="61">
        <f>IF(OR(List129[[#This Row],[Fragile 2018]]=1,List129[[#This Row],[Income]]="LDC"),1,"")</f>
        <v>1</v>
      </c>
      <c r="AA84" s="59" t="s">
        <v>1886</v>
      </c>
      <c r="AB84" s="59" t="s">
        <v>1886</v>
      </c>
      <c r="AC84" s="59" t="s">
        <v>1886</v>
      </c>
      <c r="AD84" s="59" t="s">
        <v>240</v>
      </c>
      <c r="AE84" s="59" t="s">
        <v>240</v>
      </c>
      <c r="AF84" s="59" t="s">
        <v>1886</v>
      </c>
      <c r="AG84" s="59" t="s">
        <v>240</v>
      </c>
      <c r="AH84" s="59" t="s">
        <v>1886</v>
      </c>
      <c r="AI84" s="59" t="s">
        <v>240</v>
      </c>
      <c r="AJ84" s="59" t="s">
        <v>240</v>
      </c>
      <c r="AK84" s="59" t="s">
        <v>240</v>
      </c>
      <c r="AL84" s="59" t="s">
        <v>240</v>
      </c>
      <c r="AM84" s="59">
        <v>150</v>
      </c>
      <c r="AN84" s="59" t="s">
        <v>1311</v>
      </c>
    </row>
    <row r="85" spans="1:40" x14ac:dyDescent="0.2">
      <c r="A85" s="59">
        <v>358</v>
      </c>
      <c r="B85" s="59">
        <v>253</v>
      </c>
      <c r="C85" s="59" t="s">
        <v>1530</v>
      </c>
      <c r="D85" s="59" t="s">
        <v>1530</v>
      </c>
      <c r="E85" s="59" t="s">
        <v>1530</v>
      </c>
      <c r="F85" s="59" t="s">
        <v>1531</v>
      </c>
      <c r="G85" s="59" t="s">
        <v>2101</v>
      </c>
      <c r="I85" s="59">
        <v>289</v>
      </c>
      <c r="J85" s="59">
        <v>253</v>
      </c>
      <c r="K85" s="59" t="s">
        <v>1531</v>
      </c>
      <c r="L85" s="59" t="s">
        <v>1270</v>
      </c>
      <c r="M85" s="59" t="s">
        <v>1888</v>
      </c>
      <c r="N85" s="59" t="s">
        <v>1888</v>
      </c>
      <c r="O85" s="59" t="s">
        <v>1888</v>
      </c>
      <c r="P85" s="59" t="b">
        <f>List129[[#This Row],[Income2018]]=List129[[#This Row],[Income]]</f>
        <v>1</v>
      </c>
      <c r="Q85" s="59" t="s">
        <v>2102</v>
      </c>
      <c r="R85" s="59" t="s">
        <v>240</v>
      </c>
      <c r="T85" s="59" t="s">
        <v>1886</v>
      </c>
      <c r="U85" s="59" t="s">
        <v>240</v>
      </c>
      <c r="V85" s="59" t="s">
        <v>1886</v>
      </c>
      <c r="W85" s="60" t="s">
        <v>1886</v>
      </c>
      <c r="X85" s="60" t="s">
        <v>1886</v>
      </c>
      <c r="Y85" s="60">
        <v>1</v>
      </c>
      <c r="Z85" s="61">
        <f>IF(OR(List129[[#This Row],[Fragile 2018]]=1,List129[[#This Row],[Income]]="LDC"),1,"")</f>
        <v>1</v>
      </c>
      <c r="AA85" s="59" t="s">
        <v>1886</v>
      </c>
      <c r="AB85" s="59" t="s">
        <v>1886</v>
      </c>
      <c r="AC85" s="59" t="s">
        <v>1886</v>
      </c>
      <c r="AD85" s="59" t="s">
        <v>240</v>
      </c>
      <c r="AE85" s="59" t="s">
        <v>240</v>
      </c>
      <c r="AF85" s="59" t="s">
        <v>1886</v>
      </c>
      <c r="AG85" s="59" t="s">
        <v>240</v>
      </c>
      <c r="AH85" s="59" t="s">
        <v>1886</v>
      </c>
      <c r="AI85" s="59" t="s">
        <v>240</v>
      </c>
      <c r="AJ85" s="59" t="s">
        <v>240</v>
      </c>
      <c r="AK85" s="59" t="s">
        <v>240</v>
      </c>
      <c r="AL85" s="59" t="s">
        <v>240</v>
      </c>
      <c r="AM85" s="59">
        <v>151</v>
      </c>
      <c r="AN85" s="59" t="s">
        <v>1530</v>
      </c>
    </row>
    <row r="86" spans="1:40" x14ac:dyDescent="0.2">
      <c r="A86" s="59">
        <v>222</v>
      </c>
      <c r="B86" s="59">
        <v>655</v>
      </c>
      <c r="C86" s="59" t="s">
        <v>2103</v>
      </c>
      <c r="D86" s="59" t="s">
        <v>1534</v>
      </c>
      <c r="E86" s="59" t="s">
        <v>1532</v>
      </c>
      <c r="F86" s="59" t="s">
        <v>1535</v>
      </c>
      <c r="G86" s="59" t="s">
        <v>2104</v>
      </c>
      <c r="I86" s="59">
        <v>798</v>
      </c>
      <c r="J86" s="59">
        <v>655</v>
      </c>
      <c r="K86" s="59" t="s">
        <v>2105</v>
      </c>
      <c r="L86" s="59" t="s">
        <v>1253</v>
      </c>
      <c r="M86" s="59" t="s">
        <v>1888</v>
      </c>
      <c r="N86" s="59" t="s">
        <v>1892</v>
      </c>
      <c r="O86" s="59" t="s">
        <v>1892</v>
      </c>
      <c r="P86" s="59" t="b">
        <f>List129[[#This Row],[Income2018]]=List129[[#This Row],[Income]]</f>
        <v>0</v>
      </c>
      <c r="Q86" s="59" t="s">
        <v>2106</v>
      </c>
      <c r="R86" s="59" t="s">
        <v>240</v>
      </c>
      <c r="T86" s="59" t="s">
        <v>1886</v>
      </c>
      <c r="U86" s="59" t="s">
        <v>1886</v>
      </c>
      <c r="V86" s="59" t="s">
        <v>240</v>
      </c>
      <c r="W86" s="60" t="s">
        <v>240</v>
      </c>
      <c r="X86" s="60" t="s">
        <v>240</v>
      </c>
      <c r="Y86" s="60" t="s">
        <v>240</v>
      </c>
      <c r="Z86" s="61">
        <f>IF(OR(List129[[#This Row],[Fragile 2018]]=1,List129[[#This Row],[Income]]="LDC"),1,"")</f>
        <v>1</v>
      </c>
      <c r="AA86" s="59" t="s">
        <v>240</v>
      </c>
      <c r="AB86" s="59" t="s">
        <v>1886</v>
      </c>
      <c r="AC86" s="59" t="s">
        <v>240</v>
      </c>
      <c r="AD86" s="59" t="s">
        <v>240</v>
      </c>
      <c r="AE86" s="59" t="s">
        <v>240</v>
      </c>
      <c r="AF86" s="59" t="s">
        <v>240</v>
      </c>
      <c r="AG86" s="59" t="s">
        <v>240</v>
      </c>
      <c r="AH86" s="59" t="s">
        <v>240</v>
      </c>
      <c r="AI86" s="59" t="s">
        <v>240</v>
      </c>
      <c r="AJ86" s="59" t="s">
        <v>1886</v>
      </c>
      <c r="AK86" s="59" t="s">
        <v>240</v>
      </c>
      <c r="AL86" s="59" t="s">
        <v>240</v>
      </c>
      <c r="AM86" s="59">
        <v>249</v>
      </c>
      <c r="AN86" s="59" t="s">
        <v>2103</v>
      </c>
    </row>
    <row r="87" spans="1:40" x14ac:dyDescent="0.2">
      <c r="A87" s="59">
        <v>212</v>
      </c>
      <c r="B87" s="59">
        <v>751</v>
      </c>
      <c r="C87" s="59" t="s">
        <v>1537</v>
      </c>
      <c r="D87" s="59" t="s">
        <v>1538</v>
      </c>
      <c r="E87" s="59" t="s">
        <v>1536</v>
      </c>
      <c r="F87" s="59" t="s">
        <v>1539</v>
      </c>
      <c r="G87" s="59" t="s">
        <v>2107</v>
      </c>
      <c r="I87" s="59">
        <v>798</v>
      </c>
      <c r="J87" s="59">
        <v>751</v>
      </c>
      <c r="K87" s="59" t="s">
        <v>2108</v>
      </c>
      <c r="L87" s="59" t="s">
        <v>1253</v>
      </c>
      <c r="M87" s="59" t="s">
        <v>1892</v>
      </c>
      <c r="N87" s="59" t="s">
        <v>1892</v>
      </c>
      <c r="O87" s="59" t="s">
        <v>1892</v>
      </c>
      <c r="P87" s="59" t="b">
        <f>List129[[#This Row],[Income2018]]=List129[[#This Row],[Income]]</f>
        <v>1</v>
      </c>
      <c r="Q87" s="59" t="s">
        <v>2109</v>
      </c>
      <c r="R87" s="59" t="s">
        <v>240</v>
      </c>
      <c r="T87" s="59" t="s">
        <v>240</v>
      </c>
      <c r="U87" s="59" t="s">
        <v>240</v>
      </c>
      <c r="V87" s="59" t="s">
        <v>240</v>
      </c>
      <c r="W87" s="60" t="s">
        <v>240</v>
      </c>
      <c r="X87" s="60" t="s">
        <v>240</v>
      </c>
      <c r="Y87" s="60" t="s">
        <v>240</v>
      </c>
      <c r="Z87" s="61" t="str">
        <f>IF(OR(List129[[#This Row],[Fragile 2018]]=1,List129[[#This Row],[Income]]="LDC"),1,"")</f>
        <v/>
      </c>
      <c r="AA87" s="59" t="s">
        <v>240</v>
      </c>
      <c r="AB87" s="59" t="s">
        <v>1886</v>
      </c>
      <c r="AC87" s="59" t="s">
        <v>240</v>
      </c>
      <c r="AD87" s="59" t="s">
        <v>240</v>
      </c>
      <c r="AE87" s="59" t="s">
        <v>240</v>
      </c>
      <c r="AF87" s="59" t="s">
        <v>240</v>
      </c>
      <c r="AG87" s="59" t="s">
        <v>240</v>
      </c>
      <c r="AH87" s="59" t="s">
        <v>240</v>
      </c>
      <c r="AI87" s="59" t="s">
        <v>240</v>
      </c>
      <c r="AJ87" s="59" t="s">
        <v>1886</v>
      </c>
      <c r="AK87" s="59" t="s">
        <v>240</v>
      </c>
      <c r="AL87" s="59" t="s">
        <v>240</v>
      </c>
      <c r="AM87" s="59">
        <v>267</v>
      </c>
      <c r="AN87" s="59" t="s">
        <v>1537</v>
      </c>
    </row>
    <row r="88" spans="1:40" x14ac:dyDescent="0.2">
      <c r="A88" s="59">
        <v>351</v>
      </c>
      <c r="B88" s="59">
        <v>130</v>
      </c>
      <c r="C88" s="59" t="s">
        <v>1262</v>
      </c>
      <c r="D88" s="59" t="s">
        <v>1263</v>
      </c>
      <c r="E88" s="59" t="s">
        <v>1261</v>
      </c>
      <c r="F88" s="59" t="s">
        <v>1264</v>
      </c>
      <c r="G88" s="59" t="s">
        <v>2110</v>
      </c>
      <c r="H88" s="59" t="s">
        <v>1262</v>
      </c>
      <c r="I88" s="59">
        <v>189</v>
      </c>
      <c r="J88" s="59">
        <v>130</v>
      </c>
      <c r="K88" s="59" t="s">
        <v>2111</v>
      </c>
      <c r="L88" s="59" t="s">
        <v>1265</v>
      </c>
      <c r="M88" s="59" t="s">
        <v>1891</v>
      </c>
      <c r="N88" s="59" t="s">
        <v>1892</v>
      </c>
      <c r="O88" s="59" t="s">
        <v>1892</v>
      </c>
      <c r="P88" s="59" t="b">
        <f>List129[[#This Row],[Income2018]]=List129[[#This Row],[Income]]</f>
        <v>0</v>
      </c>
      <c r="Q88" s="59" t="s">
        <v>2112</v>
      </c>
      <c r="R88" s="59" t="s">
        <v>1886</v>
      </c>
      <c r="S88" s="59" t="s">
        <v>2113</v>
      </c>
      <c r="T88" s="59" t="s">
        <v>240</v>
      </c>
      <c r="U88" s="59" t="s">
        <v>240</v>
      </c>
      <c r="V88" s="59" t="s">
        <v>240</v>
      </c>
      <c r="W88" s="60" t="s">
        <v>240</v>
      </c>
      <c r="X88" s="60" t="s">
        <v>240</v>
      </c>
      <c r="Y88" s="60" t="s">
        <v>240</v>
      </c>
      <c r="Z88" s="61" t="str">
        <f>IF(OR(List129[[#This Row],[Fragile 2018]]=1,List129[[#This Row],[Income]]="LDC"),1,"")</f>
        <v/>
      </c>
      <c r="AA88" s="59" t="s">
        <v>240</v>
      </c>
      <c r="AB88" s="59" t="s">
        <v>1886</v>
      </c>
      <c r="AC88" s="59" t="s">
        <v>240</v>
      </c>
      <c r="AD88" s="59" t="s">
        <v>240</v>
      </c>
      <c r="AE88" s="59" t="s">
        <v>240</v>
      </c>
      <c r="AF88" s="59" t="s">
        <v>1886</v>
      </c>
      <c r="AG88" s="59" t="s">
        <v>1886</v>
      </c>
      <c r="AH88" s="59" t="s">
        <v>240</v>
      </c>
      <c r="AI88" s="59" t="s">
        <v>240</v>
      </c>
      <c r="AJ88" s="59" t="s">
        <v>240</v>
      </c>
      <c r="AK88" s="59" t="s">
        <v>240</v>
      </c>
      <c r="AL88" s="59" t="s">
        <v>240</v>
      </c>
      <c r="AM88" s="59">
        <v>117</v>
      </c>
      <c r="AN88" s="59" t="s">
        <v>1262</v>
      </c>
    </row>
    <row r="89" spans="1:40" x14ac:dyDescent="0.2">
      <c r="A89" s="59">
        <v>512</v>
      </c>
      <c r="B89" s="59">
        <v>428</v>
      </c>
      <c r="C89" s="59" t="s">
        <v>1255</v>
      </c>
      <c r="D89" s="59" t="s">
        <v>1332</v>
      </c>
      <c r="E89" s="59" t="s">
        <v>1255</v>
      </c>
      <c r="F89" s="59" t="s">
        <v>1333</v>
      </c>
      <c r="G89" s="59" t="s">
        <v>2114</v>
      </c>
      <c r="H89" s="59" t="s">
        <v>1255</v>
      </c>
      <c r="I89" s="59">
        <v>498</v>
      </c>
      <c r="J89" s="59">
        <v>428</v>
      </c>
      <c r="K89" s="59" t="s">
        <v>1333</v>
      </c>
      <c r="L89" s="59" t="s">
        <v>1276</v>
      </c>
      <c r="M89" s="59" t="s">
        <v>1891</v>
      </c>
      <c r="N89" s="59" t="s">
        <v>1891</v>
      </c>
      <c r="O89" s="59" t="s">
        <v>1891</v>
      </c>
      <c r="P89" s="59" t="b">
        <f>List129[[#This Row],[Income2018]]=List129[[#This Row],[Income]]</f>
        <v>1</v>
      </c>
      <c r="Q89" s="59" t="s">
        <v>2115</v>
      </c>
      <c r="R89" s="59" t="s">
        <v>1886</v>
      </c>
      <c r="S89" s="59" t="s">
        <v>2113</v>
      </c>
      <c r="T89" s="59" t="s">
        <v>240</v>
      </c>
      <c r="U89" s="59" t="s">
        <v>240</v>
      </c>
      <c r="V89" s="59" t="s">
        <v>1886</v>
      </c>
      <c r="W89" s="60" t="s">
        <v>240</v>
      </c>
      <c r="X89" s="60" t="s">
        <v>240</v>
      </c>
      <c r="Y89" s="60" t="s">
        <v>240</v>
      </c>
      <c r="Z89" s="61" t="str">
        <f>IF(OR(List129[[#This Row],[Fragile 2018]]=1,List129[[#This Row],[Income]]="LDC"),1,"")</f>
        <v/>
      </c>
      <c r="AA89" s="59" t="s">
        <v>240</v>
      </c>
      <c r="AB89" s="59" t="s">
        <v>1886</v>
      </c>
      <c r="AC89" s="59" t="s">
        <v>1886</v>
      </c>
      <c r="AD89" s="59" t="s">
        <v>240</v>
      </c>
      <c r="AE89" s="59" t="s">
        <v>240</v>
      </c>
      <c r="AF89" s="59" t="s">
        <v>240</v>
      </c>
      <c r="AG89" s="59" t="s">
        <v>240</v>
      </c>
      <c r="AH89" s="59" t="s">
        <v>240</v>
      </c>
      <c r="AI89" s="59" t="s">
        <v>1886</v>
      </c>
      <c r="AJ89" s="59" t="s">
        <v>240</v>
      </c>
      <c r="AK89" s="59" t="s">
        <v>240</v>
      </c>
      <c r="AL89" s="59" t="s">
        <v>240</v>
      </c>
      <c r="AM89" s="59">
        <v>210</v>
      </c>
      <c r="AN89" s="59" t="s">
        <v>1255</v>
      </c>
    </row>
    <row r="90" spans="1:40" x14ac:dyDescent="0.2">
      <c r="A90" s="59">
        <v>626</v>
      </c>
      <c r="B90" s="59">
        <v>859</v>
      </c>
      <c r="C90" s="59" t="s">
        <v>1544</v>
      </c>
      <c r="D90" s="59" t="s">
        <v>1545</v>
      </c>
      <c r="E90" s="59" t="s">
        <v>1543</v>
      </c>
      <c r="F90" s="59" t="s">
        <v>1546</v>
      </c>
      <c r="G90" s="59" t="s">
        <v>2116</v>
      </c>
      <c r="I90" s="59">
        <v>889</v>
      </c>
      <c r="J90" s="59">
        <v>859</v>
      </c>
      <c r="K90" s="59" t="s">
        <v>1546</v>
      </c>
      <c r="L90" s="59" t="s">
        <v>1394</v>
      </c>
      <c r="M90" s="59" t="s">
        <v>1891</v>
      </c>
      <c r="N90" s="59" t="s">
        <v>1892</v>
      </c>
      <c r="O90" s="59" t="s">
        <v>1892</v>
      </c>
      <c r="P90" s="59" t="b">
        <f>List129[[#This Row],[Income2018]]=List129[[#This Row],[Income]]</f>
        <v>0</v>
      </c>
      <c r="Q90" s="59" t="s">
        <v>2117</v>
      </c>
      <c r="R90" s="59" t="s">
        <v>240</v>
      </c>
      <c r="T90" s="59" t="s">
        <v>240</v>
      </c>
      <c r="U90" s="59" t="s">
        <v>1886</v>
      </c>
      <c r="V90" s="59" t="s">
        <v>240</v>
      </c>
      <c r="W90" s="60" t="s">
        <v>1886</v>
      </c>
      <c r="X90" s="60" t="s">
        <v>1886</v>
      </c>
      <c r="Y90" s="60" t="s">
        <v>240</v>
      </c>
      <c r="Z90" s="61" t="str">
        <f>IF(OR(List129[[#This Row],[Fragile 2018]]=1,List129[[#This Row],[Income]]="LDC"),1,"")</f>
        <v/>
      </c>
      <c r="AA90" s="59" t="s">
        <v>1886</v>
      </c>
      <c r="AB90" s="59" t="s">
        <v>1886</v>
      </c>
      <c r="AC90" s="59" t="s">
        <v>240</v>
      </c>
      <c r="AD90" s="59" t="s">
        <v>240</v>
      </c>
      <c r="AE90" s="59" t="s">
        <v>240</v>
      </c>
      <c r="AF90" s="59" t="s">
        <v>240</v>
      </c>
      <c r="AG90" s="59" t="s">
        <v>240</v>
      </c>
      <c r="AH90" s="59" t="s">
        <v>240</v>
      </c>
      <c r="AI90" s="59" t="s">
        <v>240</v>
      </c>
      <c r="AJ90" s="59" t="s">
        <v>240</v>
      </c>
      <c r="AK90" s="59" t="s">
        <v>1886</v>
      </c>
      <c r="AL90" s="59" t="s">
        <v>240</v>
      </c>
      <c r="AM90" s="59">
        <v>282</v>
      </c>
      <c r="AN90" s="59" t="s">
        <v>1544</v>
      </c>
    </row>
    <row r="91" spans="1:40" x14ac:dyDescent="0.2">
      <c r="A91" s="59">
        <v>355</v>
      </c>
      <c r="B91" s="59">
        <v>256</v>
      </c>
      <c r="C91" s="59" t="s">
        <v>1548</v>
      </c>
      <c r="D91" s="59" t="s">
        <v>1548</v>
      </c>
      <c r="E91" s="59" t="s">
        <v>1547</v>
      </c>
      <c r="F91" s="59" t="s">
        <v>1549</v>
      </c>
      <c r="G91" s="59" t="s">
        <v>2118</v>
      </c>
      <c r="H91" s="59" t="s">
        <v>1548</v>
      </c>
      <c r="I91" s="59">
        <v>289</v>
      </c>
      <c r="J91" s="59">
        <v>256</v>
      </c>
      <c r="K91" s="59" t="s">
        <v>2119</v>
      </c>
      <c r="L91" s="59" t="s">
        <v>1270</v>
      </c>
      <c r="M91" s="59" t="s">
        <v>1888</v>
      </c>
      <c r="N91" s="59" t="s">
        <v>1888</v>
      </c>
      <c r="O91" s="59" t="s">
        <v>1888</v>
      </c>
      <c r="P91" s="59" t="b">
        <f>List129[[#This Row],[Income2018]]=List129[[#This Row],[Income]]</f>
        <v>1</v>
      </c>
      <c r="Q91" s="59" t="s">
        <v>2120</v>
      </c>
      <c r="R91" s="59" t="s">
        <v>240</v>
      </c>
      <c r="T91" s="59" t="s">
        <v>1886</v>
      </c>
      <c r="U91" s="59" t="s">
        <v>240</v>
      </c>
      <c r="V91" s="59" t="s">
        <v>240</v>
      </c>
      <c r="W91" s="59" t="s">
        <v>1886</v>
      </c>
      <c r="X91" s="59" t="s">
        <v>1886</v>
      </c>
      <c r="Y91" s="59">
        <v>1</v>
      </c>
      <c r="Z91" s="61">
        <f>IF(OR(List129[[#This Row],[Fragile 2018]]=1,List129[[#This Row],[Income]]="LDC"),1,"")</f>
        <v>1</v>
      </c>
      <c r="AA91" s="59" t="s">
        <v>1886</v>
      </c>
      <c r="AB91" s="59" t="s">
        <v>1886</v>
      </c>
      <c r="AC91" s="59" t="s">
        <v>1886</v>
      </c>
      <c r="AD91" s="59" t="s">
        <v>1925</v>
      </c>
      <c r="AE91" s="59" t="s">
        <v>240</v>
      </c>
      <c r="AF91" s="59" t="s">
        <v>1886</v>
      </c>
      <c r="AG91" s="59" t="s">
        <v>240</v>
      </c>
      <c r="AH91" s="59" t="s">
        <v>1886</v>
      </c>
      <c r="AI91" s="59" t="s">
        <v>240</v>
      </c>
      <c r="AJ91" s="59" t="s">
        <v>240</v>
      </c>
      <c r="AK91" s="59" t="s">
        <v>240</v>
      </c>
      <c r="AL91" s="59" t="s">
        <v>240</v>
      </c>
      <c r="AM91" s="59">
        <v>153</v>
      </c>
      <c r="AN91" s="59" t="s">
        <v>1548</v>
      </c>
    </row>
    <row r="92" spans="1:40" x14ac:dyDescent="0.2">
      <c r="A92" s="59">
        <v>317</v>
      </c>
      <c r="B92" s="59">
        <v>257</v>
      </c>
      <c r="C92" s="59" t="s">
        <v>1550</v>
      </c>
      <c r="D92" s="59" t="s">
        <v>1551</v>
      </c>
      <c r="E92" s="59" t="s">
        <v>1550</v>
      </c>
      <c r="F92" s="59" t="s">
        <v>1552</v>
      </c>
      <c r="G92" s="59" t="s">
        <v>2121</v>
      </c>
      <c r="I92" s="59">
        <v>289</v>
      </c>
      <c r="J92" s="59">
        <v>257</v>
      </c>
      <c r="K92" s="59" t="s">
        <v>2122</v>
      </c>
      <c r="L92" s="59" t="s">
        <v>1270</v>
      </c>
      <c r="M92" s="59" t="s">
        <v>1892</v>
      </c>
      <c r="N92" s="59" t="s">
        <v>1892</v>
      </c>
      <c r="O92" s="59" t="s">
        <v>1892</v>
      </c>
      <c r="P92" s="59" t="b">
        <f>List129[[#This Row],[Income2018]]=List129[[#This Row],[Income]]</f>
        <v>1</v>
      </c>
      <c r="Q92" s="59" t="s">
        <v>2123</v>
      </c>
      <c r="R92" s="59" t="s">
        <v>240</v>
      </c>
      <c r="T92" s="59" t="s">
        <v>240</v>
      </c>
      <c r="U92" s="59" t="s">
        <v>1886</v>
      </c>
      <c r="V92" s="59" t="s">
        <v>240</v>
      </c>
      <c r="W92" s="60" t="s">
        <v>240</v>
      </c>
      <c r="X92" s="60" t="s">
        <v>240</v>
      </c>
      <c r="Y92" s="60" t="s">
        <v>240</v>
      </c>
      <c r="Z92" s="61" t="str">
        <f>IF(OR(List129[[#This Row],[Fragile 2018]]=1,List129[[#This Row],[Income]]="LDC"),1,"")</f>
        <v/>
      </c>
      <c r="AA92" s="59" t="s">
        <v>1886</v>
      </c>
      <c r="AB92" s="59" t="s">
        <v>1886</v>
      </c>
      <c r="AC92" s="59" t="s">
        <v>240</v>
      </c>
      <c r="AD92" s="59" t="s">
        <v>240</v>
      </c>
      <c r="AE92" s="59" t="s">
        <v>240</v>
      </c>
      <c r="AF92" s="59" t="s">
        <v>1886</v>
      </c>
      <c r="AG92" s="59" t="s">
        <v>240</v>
      </c>
      <c r="AH92" s="59" t="s">
        <v>1886</v>
      </c>
      <c r="AI92" s="59" t="s">
        <v>240</v>
      </c>
      <c r="AJ92" s="59" t="s">
        <v>240</v>
      </c>
      <c r="AK92" s="59" t="s">
        <v>240</v>
      </c>
      <c r="AL92" s="59" t="s">
        <v>240</v>
      </c>
      <c r="AM92" s="59">
        <v>154</v>
      </c>
      <c r="AN92" s="59" t="s">
        <v>1550</v>
      </c>
    </row>
    <row r="93" spans="1:40" x14ac:dyDescent="0.2">
      <c r="A93" s="59">
        <v>386</v>
      </c>
      <c r="B93" s="59">
        <v>258</v>
      </c>
      <c r="C93" s="59" t="s">
        <v>1554</v>
      </c>
      <c r="D93" s="59" t="s">
        <v>1554</v>
      </c>
      <c r="F93" s="59" t="s">
        <v>1555</v>
      </c>
      <c r="G93" s="59" t="s">
        <v>2124</v>
      </c>
      <c r="I93" s="59">
        <v>289</v>
      </c>
      <c r="J93" s="59">
        <v>258</v>
      </c>
      <c r="K93" s="59" t="s">
        <v>2125</v>
      </c>
      <c r="L93" s="59" t="s">
        <v>1270</v>
      </c>
      <c r="M93" s="59" t="s">
        <v>1892</v>
      </c>
      <c r="O93" s="59" t="s">
        <v>1901</v>
      </c>
      <c r="P93" s="59" t="b">
        <f>List129[[#This Row],[Income2018]]=List129[[#This Row],[Income]]</f>
        <v>0</v>
      </c>
      <c r="Q93" s="59" t="s">
        <v>2126</v>
      </c>
      <c r="R93" s="59" t="s">
        <v>240</v>
      </c>
      <c r="T93" s="59" t="s">
        <v>240</v>
      </c>
      <c r="U93" s="59" t="s">
        <v>240</v>
      </c>
      <c r="V93" s="59" t="s">
        <v>240</v>
      </c>
      <c r="W93" s="60" t="s">
        <v>240</v>
      </c>
      <c r="X93" s="60" t="s">
        <v>240</v>
      </c>
      <c r="Y93" s="60" t="s">
        <v>240</v>
      </c>
      <c r="Z93" s="61" t="str">
        <f>IF(OR(List129[[#This Row],[Fragile 2018]]=1,List129[[#This Row],[Income]]="LDC"),1,"")</f>
        <v/>
      </c>
      <c r="AA93" s="59" t="s">
        <v>240</v>
      </c>
      <c r="AB93" s="59" t="s">
        <v>1886</v>
      </c>
      <c r="AC93" s="59" t="s">
        <v>240</v>
      </c>
      <c r="AD93" s="59" t="s">
        <v>240</v>
      </c>
      <c r="AE93" s="59" t="s">
        <v>240</v>
      </c>
      <c r="AF93" s="59" t="s">
        <v>1886</v>
      </c>
      <c r="AG93" s="59" t="s">
        <v>240</v>
      </c>
      <c r="AH93" s="59" t="s">
        <v>1886</v>
      </c>
      <c r="AI93" s="59" t="s">
        <v>240</v>
      </c>
      <c r="AJ93" s="59" t="s">
        <v>240</v>
      </c>
      <c r="AK93" s="59" t="s">
        <v>240</v>
      </c>
      <c r="AL93" s="59" t="s">
        <v>240</v>
      </c>
      <c r="AM93" s="59">
        <v>155</v>
      </c>
      <c r="AN93" s="59" t="s">
        <v>1554</v>
      </c>
    </row>
    <row r="94" spans="1:40" x14ac:dyDescent="0.2">
      <c r="A94" s="59">
        <v>416</v>
      </c>
      <c r="B94" s="59">
        <v>358</v>
      </c>
      <c r="C94" s="59" t="s">
        <v>1556</v>
      </c>
      <c r="D94" s="59" t="s">
        <v>1557</v>
      </c>
      <c r="E94" s="59" t="s">
        <v>1556</v>
      </c>
      <c r="F94" s="59" t="s">
        <v>1558</v>
      </c>
      <c r="G94" s="59" t="s">
        <v>2127</v>
      </c>
      <c r="I94" s="59">
        <v>498</v>
      </c>
      <c r="J94" s="59">
        <v>358</v>
      </c>
      <c r="K94" s="59" t="s">
        <v>1558</v>
      </c>
      <c r="L94" s="59" t="s">
        <v>1276</v>
      </c>
      <c r="M94" s="59" t="s">
        <v>1892</v>
      </c>
      <c r="N94" s="59" t="s">
        <v>1892</v>
      </c>
      <c r="O94" s="59" t="s">
        <v>1892</v>
      </c>
      <c r="P94" s="59" t="b">
        <f>List129[[#This Row],[Income2018]]=List129[[#This Row],[Income]]</f>
        <v>1</v>
      </c>
      <c r="Q94" s="59" t="s">
        <v>2128</v>
      </c>
      <c r="R94" s="59" t="s">
        <v>240</v>
      </c>
      <c r="T94" s="59" t="s">
        <v>240</v>
      </c>
      <c r="U94" s="59" t="s">
        <v>240</v>
      </c>
      <c r="V94" s="59" t="s">
        <v>240</v>
      </c>
      <c r="W94" s="60" t="s">
        <v>240</v>
      </c>
      <c r="X94" s="60" t="s">
        <v>240</v>
      </c>
      <c r="Y94" s="60" t="s">
        <v>240</v>
      </c>
      <c r="Z94" s="61" t="str">
        <f>IF(OR(List129[[#This Row],[Fragile 2018]]=1,List129[[#This Row],[Income]]="LDC"),1,"")</f>
        <v/>
      </c>
      <c r="AA94" s="59" t="s">
        <v>240</v>
      </c>
      <c r="AB94" s="59" t="s">
        <v>1886</v>
      </c>
      <c r="AC94" s="59" t="s">
        <v>240</v>
      </c>
      <c r="AD94" s="59" t="s">
        <v>240</v>
      </c>
      <c r="AE94" s="59" t="s">
        <v>240</v>
      </c>
      <c r="AF94" s="59" t="s">
        <v>240</v>
      </c>
      <c r="AG94" s="59" t="s">
        <v>240</v>
      </c>
      <c r="AH94" s="59" t="s">
        <v>240</v>
      </c>
      <c r="AI94" s="59" t="s">
        <v>1886</v>
      </c>
      <c r="AJ94" s="59" t="s">
        <v>240</v>
      </c>
      <c r="AK94" s="59" t="s">
        <v>240</v>
      </c>
      <c r="AL94" s="59" t="s">
        <v>240</v>
      </c>
      <c r="AM94" s="59">
        <v>196</v>
      </c>
      <c r="AN94" s="59" t="s">
        <v>1556</v>
      </c>
    </row>
    <row r="95" spans="1:40" x14ac:dyDescent="0.2">
      <c r="A95" s="59">
        <v>625</v>
      </c>
      <c r="B95" s="59">
        <v>860</v>
      </c>
      <c r="C95" s="59" t="s">
        <v>1560</v>
      </c>
      <c r="D95" s="59" t="s">
        <v>1561</v>
      </c>
      <c r="E95" s="59" t="s">
        <v>1559</v>
      </c>
      <c r="F95" s="59" t="s">
        <v>1562</v>
      </c>
      <c r="G95" s="59" t="s">
        <v>2129</v>
      </c>
      <c r="I95" s="59">
        <v>889</v>
      </c>
      <c r="J95" s="59">
        <v>860</v>
      </c>
      <c r="K95" s="59" t="s">
        <v>1562</v>
      </c>
      <c r="L95" s="59" t="s">
        <v>1394</v>
      </c>
      <c r="M95" s="59" t="s">
        <v>1891</v>
      </c>
      <c r="N95" s="59" t="s">
        <v>1891</v>
      </c>
      <c r="O95" s="59" t="s">
        <v>1891</v>
      </c>
      <c r="P95" s="59" t="b">
        <f>List129[[#This Row],[Income2018]]=List129[[#This Row],[Income]]</f>
        <v>1</v>
      </c>
      <c r="Q95" s="59" t="s">
        <v>2130</v>
      </c>
      <c r="R95" s="59" t="s">
        <v>240</v>
      </c>
      <c r="T95" s="59" t="s">
        <v>240</v>
      </c>
      <c r="U95" s="59" t="s">
        <v>1886</v>
      </c>
      <c r="V95" s="59" t="s">
        <v>240</v>
      </c>
      <c r="W95" s="60" t="s">
        <v>1886</v>
      </c>
      <c r="X95" s="60" t="s">
        <v>1886</v>
      </c>
      <c r="Y95" s="60" t="s">
        <v>240</v>
      </c>
      <c r="Z95" s="61" t="str">
        <f>IF(OR(List129[[#This Row],[Fragile 2018]]=1,List129[[#This Row],[Income]]="LDC"),1,"")</f>
        <v/>
      </c>
      <c r="AA95" s="59" t="s">
        <v>1886</v>
      </c>
      <c r="AB95" s="59" t="s">
        <v>1886</v>
      </c>
      <c r="AC95" s="59" t="s">
        <v>240</v>
      </c>
      <c r="AD95" s="59" t="s">
        <v>240</v>
      </c>
      <c r="AE95" s="59" t="s">
        <v>240</v>
      </c>
      <c r="AF95" s="59" t="s">
        <v>240</v>
      </c>
      <c r="AG95" s="59" t="s">
        <v>240</v>
      </c>
      <c r="AH95" s="59" t="s">
        <v>240</v>
      </c>
      <c r="AI95" s="59" t="s">
        <v>240</v>
      </c>
      <c r="AJ95" s="59" t="s">
        <v>240</v>
      </c>
      <c r="AK95" s="59" t="s">
        <v>1886</v>
      </c>
      <c r="AL95" s="59" t="s">
        <v>240</v>
      </c>
      <c r="AM95" s="59">
        <v>283</v>
      </c>
      <c r="AN95" s="59" t="s">
        <v>1560</v>
      </c>
    </row>
    <row r="96" spans="1:40" x14ac:dyDescent="0.2">
      <c r="A96" s="59">
        <v>144</v>
      </c>
      <c r="B96" s="59">
        <v>93</v>
      </c>
      <c r="C96" s="59" t="s">
        <v>1564</v>
      </c>
      <c r="D96" s="59" t="s">
        <v>1565</v>
      </c>
      <c r="E96" s="59" t="s">
        <v>1563</v>
      </c>
      <c r="F96" s="59" t="s">
        <v>1566</v>
      </c>
      <c r="G96" s="59" t="s">
        <v>2131</v>
      </c>
      <c r="I96" s="59">
        <v>89</v>
      </c>
      <c r="J96" s="59">
        <v>93</v>
      </c>
      <c r="K96" s="59" t="s">
        <v>2132</v>
      </c>
      <c r="L96" s="59" t="s">
        <v>1259</v>
      </c>
      <c r="M96" s="59" t="s">
        <v>1891</v>
      </c>
      <c r="N96" s="59" t="s">
        <v>1891</v>
      </c>
      <c r="O96" s="59" t="s">
        <v>1891</v>
      </c>
      <c r="P96" s="59" t="b">
        <f>List129[[#This Row],[Income2018]]=List129[[#This Row],[Income]]</f>
        <v>1</v>
      </c>
      <c r="Q96" s="59" t="s">
        <v>2133</v>
      </c>
      <c r="R96" s="59" t="s">
        <v>240</v>
      </c>
      <c r="T96" s="59" t="s">
        <v>240</v>
      </c>
      <c r="U96" s="59" t="s">
        <v>240</v>
      </c>
      <c r="V96" s="59" t="s">
        <v>1886</v>
      </c>
      <c r="W96" s="60" t="s">
        <v>240</v>
      </c>
      <c r="X96" s="60" t="s">
        <v>240</v>
      </c>
      <c r="Y96" s="60" t="s">
        <v>240</v>
      </c>
      <c r="Z96" s="61" t="str">
        <f>IF(OR(List129[[#This Row],[Fragile 2018]]=1,List129[[#This Row],[Income]]="LDC"),1,"")</f>
        <v/>
      </c>
      <c r="AA96" s="59" t="s">
        <v>240</v>
      </c>
      <c r="AB96" s="59" t="s">
        <v>1886</v>
      </c>
      <c r="AC96" s="59" t="s">
        <v>240</v>
      </c>
      <c r="AD96" s="59" t="s">
        <v>240</v>
      </c>
      <c r="AE96" s="59" t="s">
        <v>240</v>
      </c>
      <c r="AF96" s="59" t="s">
        <v>240</v>
      </c>
      <c r="AG96" s="59" t="s">
        <v>240</v>
      </c>
      <c r="AH96" s="59" t="s">
        <v>240</v>
      </c>
      <c r="AI96" s="59" t="s">
        <v>240</v>
      </c>
      <c r="AJ96" s="59" t="s">
        <v>240</v>
      </c>
      <c r="AK96" s="59" t="s">
        <v>240</v>
      </c>
      <c r="AL96" s="59" t="s">
        <v>1886</v>
      </c>
      <c r="AM96" s="59">
        <v>106</v>
      </c>
      <c r="AN96" s="59" t="s">
        <v>1564</v>
      </c>
    </row>
    <row r="97" spans="1:40" x14ac:dyDescent="0.2">
      <c r="A97" s="59">
        <v>221</v>
      </c>
      <c r="B97" s="59">
        <v>753</v>
      </c>
      <c r="C97" s="59" t="s">
        <v>1568</v>
      </c>
      <c r="D97" s="59" t="s">
        <v>1568</v>
      </c>
      <c r="E97" s="59" t="s">
        <v>1567</v>
      </c>
      <c r="F97" s="59" t="s">
        <v>1569</v>
      </c>
      <c r="G97" s="59" t="s">
        <v>2134</v>
      </c>
      <c r="I97" s="59">
        <v>798</v>
      </c>
      <c r="J97" s="59">
        <v>753</v>
      </c>
      <c r="K97" s="59" t="s">
        <v>2135</v>
      </c>
      <c r="L97" s="59" t="s">
        <v>1253</v>
      </c>
      <c r="M97" s="59" t="s">
        <v>1891</v>
      </c>
      <c r="N97" s="59" t="s">
        <v>1891</v>
      </c>
      <c r="O97" s="59" t="s">
        <v>1891</v>
      </c>
      <c r="P97" s="59" t="b">
        <f>List129[[#This Row],[Income2018]]=List129[[#This Row],[Income]]</f>
        <v>1</v>
      </c>
      <c r="Q97" s="59" t="s">
        <v>2136</v>
      </c>
      <c r="R97" s="59" t="s">
        <v>240</v>
      </c>
      <c r="T97" s="59" t="s">
        <v>240</v>
      </c>
      <c r="U97" s="59" t="s">
        <v>240</v>
      </c>
      <c r="V97" s="59" t="s">
        <v>1886</v>
      </c>
      <c r="W97" s="60" t="s">
        <v>240</v>
      </c>
      <c r="X97" s="60" t="s">
        <v>240</v>
      </c>
      <c r="Y97" s="60" t="s">
        <v>240</v>
      </c>
      <c r="Z97" s="61" t="str">
        <f>IF(OR(List129[[#This Row],[Fragile 2018]]=1,List129[[#This Row],[Income]]="LDC"),1,"")</f>
        <v/>
      </c>
      <c r="AA97" s="59" t="s">
        <v>240</v>
      </c>
      <c r="AB97" s="59" t="s">
        <v>1886</v>
      </c>
      <c r="AC97" s="59" t="s">
        <v>240</v>
      </c>
      <c r="AD97" s="59" t="s">
        <v>240</v>
      </c>
      <c r="AE97" s="59" t="s">
        <v>240</v>
      </c>
      <c r="AF97" s="59" t="s">
        <v>240</v>
      </c>
      <c r="AG97" s="59" t="s">
        <v>240</v>
      </c>
      <c r="AH97" s="59" t="s">
        <v>240</v>
      </c>
      <c r="AI97" s="59" t="s">
        <v>240</v>
      </c>
      <c r="AJ97" s="59" t="s">
        <v>1886</v>
      </c>
      <c r="AK97" s="59" t="s">
        <v>240</v>
      </c>
      <c r="AL97" s="59" t="s">
        <v>240</v>
      </c>
      <c r="AM97" s="59">
        <v>268</v>
      </c>
      <c r="AN97" s="59" t="s">
        <v>1568</v>
      </c>
    </row>
    <row r="98" spans="1:40" x14ac:dyDescent="0.2">
      <c r="A98" s="59">
        <v>151</v>
      </c>
      <c r="B98" s="59">
        <v>65</v>
      </c>
      <c r="C98" s="59" t="s">
        <v>1570</v>
      </c>
      <c r="D98" s="59" t="s">
        <v>1571</v>
      </c>
      <c r="E98" s="59" t="s">
        <v>1570</v>
      </c>
      <c r="F98" s="59" t="s">
        <v>1572</v>
      </c>
      <c r="G98" s="59" t="s">
        <v>2137</v>
      </c>
      <c r="I98" s="59">
        <v>89</v>
      </c>
      <c r="J98" s="59">
        <v>65</v>
      </c>
      <c r="K98" s="59" t="s">
        <v>1572</v>
      </c>
      <c r="L98" s="59" t="s">
        <v>1259</v>
      </c>
      <c r="M98" s="59" t="s">
        <v>1892</v>
      </c>
      <c r="N98" s="59" t="s">
        <v>1892</v>
      </c>
      <c r="O98" s="59" t="s">
        <v>1892</v>
      </c>
      <c r="P98" s="59" t="b">
        <f>List129[[#This Row],[Income2018]]=List129[[#This Row],[Income]]</f>
        <v>1</v>
      </c>
      <c r="Q98" s="59" t="s">
        <v>2138</v>
      </c>
      <c r="R98" s="59" t="s">
        <v>240</v>
      </c>
      <c r="T98" s="59" t="s">
        <v>240</v>
      </c>
      <c r="U98" s="59" t="s">
        <v>240</v>
      </c>
      <c r="V98" s="59" t="s">
        <v>240</v>
      </c>
      <c r="W98" s="60" t="s">
        <v>240</v>
      </c>
      <c r="X98" s="60" t="s">
        <v>240</v>
      </c>
      <c r="Y98" s="60" t="s">
        <v>240</v>
      </c>
      <c r="Z98" s="61" t="str">
        <f>IF(OR(List129[[#This Row],[Fragile 2018]]=1,List129[[#This Row],[Income]]="LDC"),1,"")</f>
        <v/>
      </c>
      <c r="AA98" s="59" t="s">
        <v>240</v>
      </c>
      <c r="AB98" s="59" t="s">
        <v>1886</v>
      </c>
      <c r="AC98" s="59" t="s">
        <v>240</v>
      </c>
      <c r="AD98" s="59" t="s">
        <v>240</v>
      </c>
      <c r="AE98" s="59" t="s">
        <v>240</v>
      </c>
      <c r="AF98" s="59" t="s">
        <v>240</v>
      </c>
      <c r="AG98" s="59" t="s">
        <v>240</v>
      </c>
      <c r="AH98" s="59" t="s">
        <v>240</v>
      </c>
      <c r="AI98" s="59" t="s">
        <v>240</v>
      </c>
      <c r="AJ98" s="59" t="s">
        <v>240</v>
      </c>
      <c r="AK98" s="59" t="s">
        <v>240</v>
      </c>
      <c r="AL98" s="59" t="s">
        <v>1886</v>
      </c>
      <c r="AM98" s="59">
        <v>107</v>
      </c>
      <c r="AN98" s="59" t="s">
        <v>1570</v>
      </c>
    </row>
    <row r="99" spans="1:40" x14ac:dyDescent="0.2">
      <c r="A99" s="59">
        <v>493</v>
      </c>
      <c r="B99" s="59">
        <v>385</v>
      </c>
      <c r="C99" s="59" t="s">
        <v>1574</v>
      </c>
      <c r="D99" s="59" t="s">
        <v>1575</v>
      </c>
      <c r="E99" s="59" t="s">
        <v>1573</v>
      </c>
      <c r="F99" s="59" t="s">
        <v>1576</v>
      </c>
      <c r="G99" s="59" t="s">
        <v>2139</v>
      </c>
      <c r="I99" s="59">
        <v>498</v>
      </c>
      <c r="J99" s="59">
        <v>385</v>
      </c>
      <c r="K99" s="59" t="s">
        <v>2140</v>
      </c>
      <c r="L99" s="59" t="s">
        <v>1276</v>
      </c>
      <c r="M99" s="59" t="s">
        <v>1892</v>
      </c>
      <c r="N99" s="59" t="s">
        <v>1892</v>
      </c>
      <c r="O99" s="59" t="s">
        <v>1892</v>
      </c>
      <c r="P99" s="59" t="b">
        <f>List129[[#This Row],[Income2018]]=List129[[#This Row],[Income]]</f>
        <v>1</v>
      </c>
      <c r="Q99" s="59" t="s">
        <v>2141</v>
      </c>
      <c r="R99" s="59" t="s">
        <v>240</v>
      </c>
      <c r="T99" s="59" t="s">
        <v>240</v>
      </c>
      <c r="U99" s="59" t="s">
        <v>1886</v>
      </c>
      <c r="V99" s="59" t="s">
        <v>240</v>
      </c>
      <c r="W99" s="60" t="s">
        <v>240</v>
      </c>
      <c r="X99" s="60" t="s">
        <v>240</v>
      </c>
      <c r="Y99" s="60" t="s">
        <v>240</v>
      </c>
      <c r="Z99" s="61" t="str">
        <f>IF(OR(List129[[#This Row],[Fragile 2018]]=1,List129[[#This Row],[Income]]="LDC"),1,"")</f>
        <v/>
      </c>
      <c r="AA99" s="59" t="s">
        <v>240</v>
      </c>
      <c r="AB99" s="59" t="s">
        <v>1886</v>
      </c>
      <c r="AC99" s="59" t="s">
        <v>240</v>
      </c>
      <c r="AD99" s="59" t="s">
        <v>240</v>
      </c>
      <c r="AE99" s="59" t="s">
        <v>240</v>
      </c>
      <c r="AF99" s="59" t="s">
        <v>240</v>
      </c>
      <c r="AG99" s="59" t="s">
        <v>240</v>
      </c>
      <c r="AH99" s="59" t="s">
        <v>240</v>
      </c>
      <c r="AI99" s="59" t="s">
        <v>1886</v>
      </c>
      <c r="AJ99" s="59" t="s">
        <v>240</v>
      </c>
      <c r="AK99" s="59" t="s">
        <v>240</v>
      </c>
      <c r="AL99" s="59" t="s">
        <v>240</v>
      </c>
      <c r="AM99" s="59">
        <v>197</v>
      </c>
      <c r="AN99" s="59" t="s">
        <v>1574</v>
      </c>
    </row>
    <row r="100" spans="1:40" x14ac:dyDescent="0.2">
      <c r="A100" s="59">
        <v>516</v>
      </c>
      <c r="B100" s="59">
        <v>440</v>
      </c>
      <c r="C100" s="59" t="s">
        <v>1278</v>
      </c>
      <c r="D100" s="59" t="s">
        <v>1409</v>
      </c>
      <c r="E100" s="59" t="s">
        <v>1278</v>
      </c>
      <c r="F100" s="59" t="s">
        <v>1410</v>
      </c>
      <c r="G100" s="59" t="s">
        <v>2142</v>
      </c>
      <c r="H100" s="59" t="s">
        <v>1278</v>
      </c>
      <c r="I100" s="59">
        <v>498</v>
      </c>
      <c r="J100" s="59">
        <v>440</v>
      </c>
      <c r="K100" s="59" t="s">
        <v>1410</v>
      </c>
      <c r="L100" s="59" t="s">
        <v>1276</v>
      </c>
      <c r="M100" s="59" t="s">
        <v>1891</v>
      </c>
      <c r="N100" s="59" t="s">
        <v>1892</v>
      </c>
      <c r="O100" s="59" t="s">
        <v>1892</v>
      </c>
      <c r="P100" s="59" t="b">
        <f>List129[[#This Row],[Income2018]]=List129[[#This Row],[Income]]</f>
        <v>0</v>
      </c>
      <c r="Q100" s="59" t="s">
        <v>2143</v>
      </c>
      <c r="R100" s="59" t="s">
        <v>1886</v>
      </c>
      <c r="S100" s="59" t="s">
        <v>2113</v>
      </c>
      <c r="T100" s="59" t="s">
        <v>240</v>
      </c>
      <c r="U100" s="59" t="s">
        <v>240</v>
      </c>
      <c r="V100" s="59" t="s">
        <v>240</v>
      </c>
      <c r="W100" s="60" t="s">
        <v>240</v>
      </c>
      <c r="X100" s="60" t="s">
        <v>240</v>
      </c>
      <c r="Y100" s="60" t="s">
        <v>240</v>
      </c>
      <c r="Z100" s="61" t="str">
        <f>IF(OR(List129[[#This Row],[Fragile 2018]]=1,List129[[#This Row],[Income]]="LDC"),1,"")</f>
        <v/>
      </c>
      <c r="AA100" s="59" t="s">
        <v>240</v>
      </c>
      <c r="AB100" s="59" t="s">
        <v>1886</v>
      </c>
      <c r="AC100" s="59" t="s">
        <v>240</v>
      </c>
      <c r="AD100" s="59" t="s">
        <v>240</v>
      </c>
      <c r="AE100" s="59" t="s">
        <v>240</v>
      </c>
      <c r="AF100" s="59" t="s">
        <v>240</v>
      </c>
      <c r="AG100" s="59" t="s">
        <v>240</v>
      </c>
      <c r="AH100" s="59" t="s">
        <v>240</v>
      </c>
      <c r="AI100" s="59" t="s">
        <v>1886</v>
      </c>
      <c r="AJ100" s="59" t="s">
        <v>240</v>
      </c>
      <c r="AK100" s="59" t="s">
        <v>240</v>
      </c>
      <c r="AL100" s="59" t="s">
        <v>240</v>
      </c>
      <c r="AM100" s="59">
        <v>214</v>
      </c>
      <c r="AN100" s="59" t="s">
        <v>1278</v>
      </c>
    </row>
    <row r="101" spans="1:40" x14ac:dyDescent="0.2">
      <c r="A101" s="59">
        <v>201</v>
      </c>
      <c r="B101" s="59">
        <v>635</v>
      </c>
      <c r="C101" s="63" t="s">
        <v>1579</v>
      </c>
      <c r="D101" s="59" t="s">
        <v>1580</v>
      </c>
      <c r="E101" s="59" t="s">
        <v>1578</v>
      </c>
      <c r="F101" s="59" t="s">
        <v>1581</v>
      </c>
      <c r="G101" s="59" t="s">
        <v>2144</v>
      </c>
      <c r="I101" s="59">
        <v>798</v>
      </c>
      <c r="J101" s="59">
        <v>635</v>
      </c>
      <c r="K101" s="59" t="s">
        <v>2145</v>
      </c>
      <c r="L101" s="59" t="s">
        <v>1253</v>
      </c>
      <c r="M101" s="59" t="s">
        <v>1888</v>
      </c>
      <c r="N101" s="59" t="s">
        <v>1888</v>
      </c>
      <c r="O101" s="59" t="s">
        <v>1888</v>
      </c>
      <c r="P101" s="59" t="b">
        <f>List129[[#This Row],[Income2018]]=List129[[#This Row],[Income]]</f>
        <v>1</v>
      </c>
      <c r="Q101" s="59" t="s">
        <v>2146</v>
      </c>
      <c r="R101" s="59" t="s">
        <v>240</v>
      </c>
      <c r="T101" s="59" t="s">
        <v>1886</v>
      </c>
      <c r="U101" s="59" t="s">
        <v>240</v>
      </c>
      <c r="V101" s="59" t="s">
        <v>240</v>
      </c>
      <c r="W101" s="60" t="s">
        <v>1886</v>
      </c>
      <c r="X101" s="60" t="s">
        <v>1886</v>
      </c>
      <c r="Y101" s="60">
        <v>1</v>
      </c>
      <c r="Z101" s="61">
        <f>IF(OR(List129[[#This Row],[Fragile 2018]]=1,List129[[#This Row],[Income]]="LDC"),1,"")</f>
        <v>1</v>
      </c>
      <c r="AA101" s="59" t="s">
        <v>240</v>
      </c>
      <c r="AB101" s="59" t="s">
        <v>1886</v>
      </c>
      <c r="AC101" s="59" t="s">
        <v>240</v>
      </c>
      <c r="AD101" s="59" t="s">
        <v>240</v>
      </c>
      <c r="AE101" s="59" t="s">
        <v>240</v>
      </c>
      <c r="AF101" s="59" t="s">
        <v>240</v>
      </c>
      <c r="AG101" s="59" t="s">
        <v>240</v>
      </c>
      <c r="AH101" s="59" t="s">
        <v>240</v>
      </c>
      <c r="AI101" s="59" t="s">
        <v>240</v>
      </c>
      <c r="AJ101" s="59" t="s">
        <v>1886</v>
      </c>
      <c r="AK101" s="59" t="s">
        <v>240</v>
      </c>
      <c r="AL101" s="59" t="s">
        <v>240</v>
      </c>
      <c r="AM101" s="59">
        <v>250</v>
      </c>
      <c r="AN101" s="59" t="s">
        <v>1579</v>
      </c>
    </row>
    <row r="102" spans="1:40" x14ac:dyDescent="0.2">
      <c r="A102" s="59">
        <v>384</v>
      </c>
      <c r="B102" s="59">
        <v>275</v>
      </c>
      <c r="C102" s="59" t="s">
        <v>1583</v>
      </c>
      <c r="D102" s="59" t="s">
        <v>1583</v>
      </c>
      <c r="E102" s="59" t="s">
        <v>1582</v>
      </c>
      <c r="F102" s="59" t="s">
        <v>1584</v>
      </c>
      <c r="G102" s="59" t="s">
        <v>2147</v>
      </c>
      <c r="H102" s="59" t="s">
        <v>1583</v>
      </c>
      <c r="I102" s="59">
        <v>289</v>
      </c>
      <c r="J102" s="59">
        <v>275</v>
      </c>
      <c r="K102" s="59" t="s">
        <v>1584</v>
      </c>
      <c r="L102" s="59" t="s">
        <v>1270</v>
      </c>
      <c r="M102" s="59" t="s">
        <v>1891</v>
      </c>
      <c r="N102" s="59" t="s">
        <v>1892</v>
      </c>
      <c r="O102" s="59" t="s">
        <v>1892</v>
      </c>
      <c r="P102" s="59" t="b">
        <f>List129[[#This Row],[Income2018]]=List129[[#This Row],[Income]]</f>
        <v>0</v>
      </c>
      <c r="Q102" s="59" t="s">
        <v>2148</v>
      </c>
      <c r="R102" s="59" t="s">
        <v>240</v>
      </c>
      <c r="T102" s="59" t="s">
        <v>240</v>
      </c>
      <c r="U102" s="59" t="s">
        <v>240</v>
      </c>
      <c r="V102" s="59" t="s">
        <v>240</v>
      </c>
      <c r="W102" s="60" t="s">
        <v>240</v>
      </c>
      <c r="X102" s="60" t="s">
        <v>240</v>
      </c>
      <c r="Y102" s="60" t="s">
        <v>240</v>
      </c>
      <c r="Z102" s="61" t="str">
        <f>IF(OR(List129[[#This Row],[Fragile 2018]]=1,List129[[#This Row],[Income]]="LDC"),1,"")</f>
        <v/>
      </c>
      <c r="AA102" s="59" t="s">
        <v>1886</v>
      </c>
      <c r="AB102" s="59" t="s">
        <v>1886</v>
      </c>
      <c r="AC102" s="59" t="s">
        <v>240</v>
      </c>
      <c r="AD102" s="59" t="s">
        <v>240</v>
      </c>
      <c r="AE102" s="59" t="s">
        <v>240</v>
      </c>
      <c r="AF102" s="59" t="s">
        <v>1886</v>
      </c>
      <c r="AG102" s="59" t="s">
        <v>240</v>
      </c>
      <c r="AH102" s="59" t="s">
        <v>1886</v>
      </c>
      <c r="AI102" s="59" t="s">
        <v>240</v>
      </c>
      <c r="AJ102" s="59" t="s">
        <v>240</v>
      </c>
      <c r="AK102" s="59" t="s">
        <v>240</v>
      </c>
      <c r="AL102" s="59" t="s">
        <v>240</v>
      </c>
      <c r="AM102" s="59">
        <v>157</v>
      </c>
      <c r="AN102" s="59" t="s">
        <v>1583</v>
      </c>
    </row>
    <row r="103" spans="1:40" x14ac:dyDescent="0.2">
      <c r="A103" s="59">
        <v>615</v>
      </c>
      <c r="B103" s="59">
        <v>845</v>
      </c>
      <c r="C103" s="59" t="s">
        <v>1586</v>
      </c>
      <c r="D103" s="59" t="s">
        <v>1586</v>
      </c>
      <c r="E103" s="59" t="s">
        <v>1585</v>
      </c>
      <c r="F103" s="59" t="s">
        <v>1587</v>
      </c>
      <c r="G103" s="59" t="s">
        <v>2149</v>
      </c>
      <c r="I103" s="59">
        <v>889</v>
      </c>
      <c r="J103" s="59">
        <v>845</v>
      </c>
      <c r="K103" s="59" t="s">
        <v>2150</v>
      </c>
      <c r="L103" s="59" t="s">
        <v>1394</v>
      </c>
      <c r="M103" s="59" t="s">
        <v>1892</v>
      </c>
      <c r="N103" s="59" t="s">
        <v>1892</v>
      </c>
      <c r="O103" s="59" t="s">
        <v>1892</v>
      </c>
      <c r="P103" s="59" t="b">
        <f>List129[[#This Row],[Income2018]]=List129[[#This Row],[Income]]</f>
        <v>1</v>
      </c>
      <c r="Q103" s="59" t="s">
        <v>2151</v>
      </c>
      <c r="R103" s="59" t="s">
        <v>240</v>
      </c>
      <c r="T103" s="59" t="s">
        <v>240</v>
      </c>
      <c r="U103" s="59" t="s">
        <v>1886</v>
      </c>
      <c r="V103" s="59" t="s">
        <v>240</v>
      </c>
      <c r="W103" s="60" t="s">
        <v>240</v>
      </c>
      <c r="X103" s="60" t="s">
        <v>240</v>
      </c>
      <c r="Y103" s="60" t="s">
        <v>240</v>
      </c>
      <c r="Z103" s="61" t="str">
        <f>IF(OR(List129[[#This Row],[Fragile 2018]]=1,List129[[#This Row],[Income]]="LDC"),1,"")</f>
        <v/>
      </c>
      <c r="AA103" s="59" t="s">
        <v>1886</v>
      </c>
      <c r="AB103" s="59" t="s">
        <v>1886</v>
      </c>
      <c r="AC103" s="59" t="s">
        <v>240</v>
      </c>
      <c r="AD103" s="59" t="s">
        <v>240</v>
      </c>
      <c r="AE103" s="59" t="s">
        <v>240</v>
      </c>
      <c r="AF103" s="59" t="s">
        <v>240</v>
      </c>
      <c r="AG103" s="59" t="s">
        <v>240</v>
      </c>
      <c r="AH103" s="59" t="s">
        <v>240</v>
      </c>
      <c r="AI103" s="59" t="s">
        <v>240</v>
      </c>
      <c r="AJ103" s="59" t="s">
        <v>240</v>
      </c>
      <c r="AK103" s="59" t="s">
        <v>1886</v>
      </c>
      <c r="AL103" s="59" t="s">
        <v>240</v>
      </c>
      <c r="AM103" s="59">
        <v>284</v>
      </c>
      <c r="AN103" s="59" t="s">
        <v>1586</v>
      </c>
    </row>
    <row r="104" spans="1:40" x14ac:dyDescent="0.2">
      <c r="A104" s="59">
        <v>213</v>
      </c>
      <c r="B104" s="59">
        <v>660</v>
      </c>
      <c r="C104" s="59" t="s">
        <v>1588</v>
      </c>
      <c r="D104" s="59" t="s">
        <v>1589</v>
      </c>
      <c r="E104" s="59" t="s">
        <v>1588</v>
      </c>
      <c r="F104" s="59" t="s">
        <v>1590</v>
      </c>
      <c r="G104" s="59" t="s">
        <v>2152</v>
      </c>
      <c r="H104" s="59" t="s">
        <v>1588</v>
      </c>
      <c r="I104" s="59">
        <v>798</v>
      </c>
      <c r="J104" s="59">
        <v>660</v>
      </c>
      <c r="K104" s="59" t="s">
        <v>2153</v>
      </c>
      <c r="L104" s="59" t="s">
        <v>1253</v>
      </c>
      <c r="M104" s="59" t="s">
        <v>1888</v>
      </c>
      <c r="N104" s="59" t="s">
        <v>1888</v>
      </c>
      <c r="O104" s="59" t="s">
        <v>1888</v>
      </c>
      <c r="P104" s="59" t="b">
        <f>List129[[#This Row],[Income2018]]=List129[[#This Row],[Income]]</f>
        <v>1</v>
      </c>
      <c r="Q104" s="59" t="s">
        <v>2154</v>
      </c>
      <c r="R104" s="59" t="s">
        <v>240</v>
      </c>
      <c r="T104" s="59" t="s">
        <v>1886</v>
      </c>
      <c r="U104" s="59" t="s">
        <v>240</v>
      </c>
      <c r="V104" s="59" t="s">
        <v>1886</v>
      </c>
      <c r="W104" s="60" t="s">
        <v>1886</v>
      </c>
      <c r="X104" s="60" t="s">
        <v>1886</v>
      </c>
      <c r="Y104" s="60">
        <v>1</v>
      </c>
      <c r="Z104" s="61">
        <f>IF(OR(List129[[#This Row],[Fragile 2018]]=1,List129[[#This Row],[Income]]="LDC"),1,"")</f>
        <v>1</v>
      </c>
      <c r="AA104" s="59" t="s">
        <v>240</v>
      </c>
      <c r="AB104" s="59" t="s">
        <v>1886</v>
      </c>
      <c r="AC104" s="59" t="s">
        <v>240</v>
      </c>
      <c r="AD104" s="59" t="s">
        <v>240</v>
      </c>
      <c r="AE104" s="59" t="s">
        <v>240</v>
      </c>
      <c r="AF104" s="59" t="s">
        <v>240</v>
      </c>
      <c r="AG104" s="59" t="s">
        <v>240</v>
      </c>
      <c r="AH104" s="59" t="s">
        <v>240</v>
      </c>
      <c r="AI104" s="59" t="s">
        <v>240</v>
      </c>
      <c r="AJ104" s="59" t="s">
        <v>1886</v>
      </c>
      <c r="AK104" s="59" t="s">
        <v>240</v>
      </c>
      <c r="AL104" s="59" t="s">
        <v>240</v>
      </c>
      <c r="AM104" s="59">
        <v>251</v>
      </c>
      <c r="AN104" s="59" t="s">
        <v>1588</v>
      </c>
    </row>
    <row r="105" spans="1:40" x14ac:dyDescent="0.2">
      <c r="A105" s="59">
        <v>417</v>
      </c>
      <c r="B105" s="59">
        <v>364</v>
      </c>
      <c r="C105" s="59" t="s">
        <v>1591</v>
      </c>
      <c r="D105" s="59" t="s">
        <v>1591</v>
      </c>
      <c r="E105" s="59" t="s">
        <v>1591</v>
      </c>
      <c r="F105" s="59" t="s">
        <v>1592</v>
      </c>
      <c r="G105" s="59" t="s">
        <v>2155</v>
      </c>
      <c r="H105" s="59" t="s">
        <v>1591</v>
      </c>
      <c r="I105" s="59">
        <v>498</v>
      </c>
      <c r="J105" s="59">
        <v>364</v>
      </c>
      <c r="K105" s="59" t="s">
        <v>1592</v>
      </c>
      <c r="L105" s="59" t="s">
        <v>1276</v>
      </c>
      <c r="M105" s="59" t="s">
        <v>1891</v>
      </c>
      <c r="N105" s="59" t="s">
        <v>1891</v>
      </c>
      <c r="O105" s="59" t="s">
        <v>1891</v>
      </c>
      <c r="P105" s="59" t="b">
        <f>List129[[#This Row],[Income2018]]=List129[[#This Row],[Income]]</f>
        <v>1</v>
      </c>
      <c r="Q105" s="59" t="s">
        <v>2156</v>
      </c>
      <c r="R105" s="59" t="s">
        <v>240</v>
      </c>
      <c r="T105" s="59" t="s">
        <v>240</v>
      </c>
      <c r="U105" s="59" t="s">
        <v>240</v>
      </c>
      <c r="V105" s="59" t="s">
        <v>240</v>
      </c>
      <c r="W105" s="60" t="s">
        <v>240</v>
      </c>
      <c r="X105" s="60" t="s">
        <v>240</v>
      </c>
      <c r="Y105" s="60" t="s">
        <v>240</v>
      </c>
      <c r="Z105" s="61" t="str">
        <f>IF(OR(List129[[#This Row],[Fragile 2018]]=1,List129[[#This Row],[Income]]="LDC"),1,"")</f>
        <v/>
      </c>
      <c r="AA105" s="59" t="s">
        <v>240</v>
      </c>
      <c r="AB105" s="59" t="s">
        <v>1886</v>
      </c>
      <c r="AC105" s="59" t="s">
        <v>1886</v>
      </c>
      <c r="AD105" s="59" t="s">
        <v>240</v>
      </c>
      <c r="AE105" s="59" t="s">
        <v>240</v>
      </c>
      <c r="AF105" s="59" t="s">
        <v>240</v>
      </c>
      <c r="AG105" s="59" t="s">
        <v>240</v>
      </c>
      <c r="AH105" s="59" t="s">
        <v>240</v>
      </c>
      <c r="AI105" s="59" t="s">
        <v>1886</v>
      </c>
      <c r="AJ105" s="59" t="s">
        <v>240</v>
      </c>
      <c r="AK105" s="59" t="s">
        <v>240</v>
      </c>
      <c r="AL105" s="59" t="s">
        <v>240</v>
      </c>
      <c r="AM105" s="59">
        <v>198</v>
      </c>
      <c r="AN105" s="59" t="s">
        <v>1591</v>
      </c>
    </row>
    <row r="106" spans="1:40" x14ac:dyDescent="0.2">
      <c r="A106" s="59">
        <v>518</v>
      </c>
      <c r="B106" s="59">
        <v>454</v>
      </c>
      <c r="C106" s="59" t="s">
        <v>1344</v>
      </c>
      <c r="D106" s="59" t="s">
        <v>1624</v>
      </c>
      <c r="E106" s="59" t="s">
        <v>1344</v>
      </c>
      <c r="F106" s="59" t="s">
        <v>1625</v>
      </c>
      <c r="G106" s="59" t="s">
        <v>2157</v>
      </c>
      <c r="H106" s="59" t="s">
        <v>1344</v>
      </c>
      <c r="I106" s="59">
        <v>498</v>
      </c>
      <c r="J106" s="59">
        <v>454</v>
      </c>
      <c r="K106" s="59" t="s">
        <v>1625</v>
      </c>
      <c r="L106" s="59" t="s">
        <v>1276</v>
      </c>
      <c r="M106" s="59" t="s">
        <v>1891</v>
      </c>
      <c r="N106" s="59" t="s">
        <v>1892</v>
      </c>
      <c r="O106" s="59" t="s">
        <v>1892</v>
      </c>
      <c r="P106" s="59" t="b">
        <f>List129[[#This Row],[Income2018]]=List129[[#This Row],[Income]]</f>
        <v>0</v>
      </c>
      <c r="Q106" s="59" t="s">
        <v>2158</v>
      </c>
      <c r="R106" s="59" t="s">
        <v>1886</v>
      </c>
      <c r="S106" s="59" t="s">
        <v>2113</v>
      </c>
      <c r="T106" s="59" t="s">
        <v>240</v>
      </c>
      <c r="U106" s="59" t="s">
        <v>240</v>
      </c>
      <c r="V106" s="59" t="s">
        <v>240</v>
      </c>
      <c r="W106" s="60" t="s">
        <v>240</v>
      </c>
      <c r="X106" s="60" t="s">
        <v>240</v>
      </c>
      <c r="Y106" s="60" t="s">
        <v>240</v>
      </c>
      <c r="Z106" s="61" t="str">
        <f>IF(OR(List129[[#This Row],[Fragile 2018]]=1,List129[[#This Row],[Income]]="LDC"),1,"")</f>
        <v/>
      </c>
      <c r="AA106" s="59" t="s">
        <v>240</v>
      </c>
      <c r="AB106" s="59" t="s">
        <v>1886</v>
      </c>
      <c r="AC106" s="59" t="s">
        <v>240</v>
      </c>
      <c r="AD106" s="59" t="s">
        <v>240</v>
      </c>
      <c r="AE106" s="59" t="s">
        <v>240</v>
      </c>
      <c r="AF106" s="59" t="s">
        <v>240</v>
      </c>
      <c r="AG106" s="59" t="s">
        <v>240</v>
      </c>
      <c r="AH106" s="59" t="s">
        <v>240</v>
      </c>
      <c r="AI106" s="59" t="s">
        <v>1886</v>
      </c>
      <c r="AJ106" s="59" t="s">
        <v>240</v>
      </c>
      <c r="AK106" s="59" t="s">
        <v>240</v>
      </c>
      <c r="AL106" s="59" t="s">
        <v>240</v>
      </c>
      <c r="AM106" s="59">
        <v>217</v>
      </c>
      <c r="AN106" s="59" t="s">
        <v>1344</v>
      </c>
    </row>
    <row r="107" spans="1:40" x14ac:dyDescent="0.2">
      <c r="A107" s="59">
        <v>322</v>
      </c>
      <c r="B107" s="59">
        <v>261</v>
      </c>
      <c r="C107" s="59" t="s">
        <v>1594</v>
      </c>
      <c r="D107" s="59" t="s">
        <v>1595</v>
      </c>
      <c r="E107" s="59" t="s">
        <v>1594</v>
      </c>
      <c r="F107" s="59" t="s">
        <v>1596</v>
      </c>
      <c r="G107" s="59" t="s">
        <v>2159</v>
      </c>
      <c r="I107" s="59">
        <v>289</v>
      </c>
      <c r="J107" s="59">
        <v>261</v>
      </c>
      <c r="K107" s="59" t="s">
        <v>2160</v>
      </c>
      <c r="L107" s="59" t="s">
        <v>1270</v>
      </c>
      <c r="M107" s="59" t="s">
        <v>1967</v>
      </c>
      <c r="N107" s="59" t="s">
        <v>1891</v>
      </c>
      <c r="O107" s="59" t="s">
        <v>1891</v>
      </c>
      <c r="P107" s="59" t="b">
        <f>List129[[#This Row],[Income2018]]=List129[[#This Row],[Income]]</f>
        <v>0</v>
      </c>
      <c r="Q107" s="59" t="s">
        <v>2161</v>
      </c>
      <c r="R107" s="59" t="s">
        <v>240</v>
      </c>
      <c r="T107" s="59" t="s">
        <v>240</v>
      </c>
      <c r="U107" s="59" t="s">
        <v>240</v>
      </c>
      <c r="V107" s="59" t="s">
        <v>240</v>
      </c>
      <c r="W107" s="60" t="s">
        <v>1886</v>
      </c>
      <c r="X107" s="60" t="s">
        <v>1886</v>
      </c>
      <c r="Y107" s="60">
        <v>1</v>
      </c>
      <c r="Z107" s="61">
        <f>IF(OR(List129[[#This Row],[Fragile 2018]]=1,List129[[#This Row],[Income]]="LDC"),1,"")</f>
        <v>1</v>
      </c>
      <c r="AA107" s="59" t="s">
        <v>1886</v>
      </c>
      <c r="AB107" s="59" t="s">
        <v>1886</v>
      </c>
      <c r="AC107" s="59" t="s">
        <v>240</v>
      </c>
      <c r="AD107" s="59" t="s">
        <v>1925</v>
      </c>
      <c r="AE107" s="59" t="s">
        <v>240</v>
      </c>
      <c r="AF107" s="59" t="s">
        <v>1886</v>
      </c>
      <c r="AG107" s="59" t="s">
        <v>240</v>
      </c>
      <c r="AH107" s="59" t="s">
        <v>1886</v>
      </c>
      <c r="AI107" s="59" t="s">
        <v>240</v>
      </c>
      <c r="AJ107" s="59" t="s">
        <v>240</v>
      </c>
      <c r="AK107" s="59" t="s">
        <v>240</v>
      </c>
      <c r="AL107" s="59" t="s">
        <v>240</v>
      </c>
      <c r="AM107" s="59">
        <v>159</v>
      </c>
      <c r="AN107" s="59" t="s">
        <v>1594</v>
      </c>
    </row>
    <row r="108" spans="1:40" x14ac:dyDescent="0.2">
      <c r="A108" s="59">
        <v>685</v>
      </c>
      <c r="B108" s="59">
        <v>856</v>
      </c>
      <c r="C108" s="59" t="s">
        <v>1597</v>
      </c>
      <c r="D108" s="59" t="s">
        <v>1597</v>
      </c>
      <c r="E108" s="59" t="s">
        <v>1597</v>
      </c>
      <c r="F108" s="59" t="s">
        <v>1598</v>
      </c>
      <c r="G108" s="59" t="s">
        <v>2162</v>
      </c>
      <c r="I108" s="59">
        <v>889</v>
      </c>
      <c r="J108" s="59">
        <v>856</v>
      </c>
      <c r="K108" s="59" t="s">
        <v>1598</v>
      </c>
      <c r="L108" s="59" t="s">
        <v>1394</v>
      </c>
      <c r="M108" s="59" t="s">
        <v>1891</v>
      </c>
      <c r="N108" s="59" t="s">
        <v>1892</v>
      </c>
      <c r="O108" s="59" t="s">
        <v>1892</v>
      </c>
      <c r="P108" s="59" t="b">
        <f>List129[[#This Row],[Income2018]]=List129[[#This Row],[Income]]</f>
        <v>0</v>
      </c>
      <c r="Q108" s="59" t="s">
        <v>2163</v>
      </c>
      <c r="R108" s="59" t="s">
        <v>240</v>
      </c>
      <c r="T108" s="59" t="s">
        <v>240</v>
      </c>
      <c r="U108" s="59" t="s">
        <v>1886</v>
      </c>
      <c r="V108" s="59" t="s">
        <v>240</v>
      </c>
      <c r="W108" s="60" t="s">
        <v>240</v>
      </c>
      <c r="X108" s="60" t="s">
        <v>240</v>
      </c>
      <c r="Y108" s="60" t="s">
        <v>240</v>
      </c>
      <c r="Z108" s="61" t="str">
        <f>IF(OR(List129[[#This Row],[Fragile 2018]]=1,List129[[#This Row],[Income]]="LDC"),1,"")</f>
        <v/>
      </c>
      <c r="AA108" s="59" t="s">
        <v>1886</v>
      </c>
      <c r="AB108" s="59" t="s">
        <v>1886</v>
      </c>
      <c r="AC108" s="59" t="s">
        <v>240</v>
      </c>
      <c r="AD108" s="59" t="s">
        <v>240</v>
      </c>
      <c r="AE108" s="59" t="s">
        <v>240</v>
      </c>
      <c r="AF108" s="59" t="s">
        <v>240</v>
      </c>
      <c r="AG108" s="59" t="s">
        <v>240</v>
      </c>
      <c r="AH108" s="59" t="s">
        <v>240</v>
      </c>
      <c r="AI108" s="59" t="s">
        <v>240</v>
      </c>
      <c r="AJ108" s="59" t="s">
        <v>240</v>
      </c>
      <c r="AK108" s="59" t="s">
        <v>1886</v>
      </c>
      <c r="AL108" s="59" t="s">
        <v>240</v>
      </c>
      <c r="AM108" s="59">
        <v>285</v>
      </c>
      <c r="AN108" s="59" t="s">
        <v>1597</v>
      </c>
    </row>
    <row r="109" spans="1:40" x14ac:dyDescent="0.2">
      <c r="A109" s="59">
        <v>220</v>
      </c>
      <c r="B109" s="59">
        <v>769</v>
      </c>
      <c r="C109" s="59" t="s">
        <v>903</v>
      </c>
      <c r="D109" s="59" t="s">
        <v>903</v>
      </c>
      <c r="E109" s="59" t="s">
        <v>903</v>
      </c>
      <c r="F109" s="59" t="s">
        <v>1735</v>
      </c>
      <c r="G109" s="59" t="s">
        <v>2164</v>
      </c>
      <c r="H109" s="59" t="s">
        <v>903</v>
      </c>
      <c r="I109" s="59">
        <v>798</v>
      </c>
      <c r="J109" s="59">
        <v>769</v>
      </c>
      <c r="K109" s="59" t="s">
        <v>2165</v>
      </c>
      <c r="L109" s="59" t="s">
        <v>1253</v>
      </c>
      <c r="M109" s="59" t="s">
        <v>1967</v>
      </c>
      <c r="N109" s="59" t="s">
        <v>1891</v>
      </c>
      <c r="O109" s="59" t="s">
        <v>1891</v>
      </c>
      <c r="P109" s="59" t="b">
        <f>List129[[#This Row],[Income2018]]=List129[[#This Row],[Income]]</f>
        <v>0</v>
      </c>
      <c r="Q109" s="59" t="s">
        <v>2166</v>
      </c>
      <c r="R109" s="59" t="s">
        <v>1886</v>
      </c>
      <c r="S109" s="59" t="s">
        <v>2113</v>
      </c>
      <c r="T109" s="59" t="s">
        <v>240</v>
      </c>
      <c r="U109" s="59" t="s">
        <v>240</v>
      </c>
      <c r="V109" s="59" t="s">
        <v>240</v>
      </c>
      <c r="W109" s="60" t="s">
        <v>240</v>
      </c>
      <c r="X109" s="60" t="s">
        <v>240</v>
      </c>
      <c r="Y109" s="60" t="s">
        <v>240</v>
      </c>
      <c r="Z109" s="61" t="str">
        <f>IF(OR(List129[[#This Row],[Fragile 2018]]=1,List129[[#This Row],[Income]]="LDC"),1,"")</f>
        <v/>
      </c>
      <c r="AA109" s="59" t="s">
        <v>240</v>
      </c>
      <c r="AB109" s="59" t="s">
        <v>1886</v>
      </c>
      <c r="AC109" s="59" t="s">
        <v>240</v>
      </c>
      <c r="AD109" s="59" t="s">
        <v>240</v>
      </c>
      <c r="AE109" s="59" t="s">
        <v>240</v>
      </c>
      <c r="AF109" s="59" t="s">
        <v>240</v>
      </c>
      <c r="AG109" s="59" t="s">
        <v>240</v>
      </c>
      <c r="AH109" s="59" t="s">
        <v>240</v>
      </c>
      <c r="AI109" s="59" t="s">
        <v>240</v>
      </c>
      <c r="AJ109" s="59" t="s">
        <v>1886</v>
      </c>
      <c r="AK109" s="59" t="s">
        <v>240</v>
      </c>
      <c r="AL109" s="59" t="s">
        <v>240</v>
      </c>
      <c r="AM109" s="59">
        <v>272</v>
      </c>
      <c r="AN109" s="59" t="s">
        <v>903</v>
      </c>
    </row>
    <row r="110" spans="1:40" x14ac:dyDescent="0.2">
      <c r="A110" s="59">
        <v>146</v>
      </c>
      <c r="B110" s="59">
        <v>85</v>
      </c>
      <c r="C110" s="59" t="s">
        <v>1600</v>
      </c>
      <c r="D110" s="59" t="s">
        <v>1599</v>
      </c>
      <c r="E110" s="59" t="s">
        <v>1599</v>
      </c>
      <c r="F110" s="59" t="s">
        <v>1601</v>
      </c>
      <c r="G110" s="59" t="s">
        <v>2167</v>
      </c>
      <c r="I110" s="59">
        <v>89</v>
      </c>
      <c r="J110" s="59">
        <v>85</v>
      </c>
      <c r="K110" s="59" t="s">
        <v>1601</v>
      </c>
      <c r="L110" s="59" t="s">
        <v>1259</v>
      </c>
      <c r="M110" s="59" t="s">
        <v>1891</v>
      </c>
      <c r="N110" s="59" t="s">
        <v>1891</v>
      </c>
      <c r="O110" s="59" t="s">
        <v>1891</v>
      </c>
      <c r="P110" s="59" t="b">
        <f>List129[[#This Row],[Income2018]]=List129[[#This Row],[Income]]</f>
        <v>1</v>
      </c>
      <c r="Q110" s="59" t="s">
        <v>2168</v>
      </c>
      <c r="R110" s="59" t="s">
        <v>240</v>
      </c>
      <c r="T110" s="59" t="s">
        <v>240</v>
      </c>
      <c r="U110" s="59" t="s">
        <v>240</v>
      </c>
      <c r="V110" s="59" t="s">
        <v>240</v>
      </c>
      <c r="W110" s="60" t="s">
        <v>240</v>
      </c>
      <c r="X110" s="60" t="s">
        <v>240</v>
      </c>
      <c r="Y110" s="60" t="s">
        <v>240</v>
      </c>
      <c r="Z110" s="61" t="str">
        <f>IF(OR(List129[[#This Row],[Fragile 2018]]=1,List129[[#This Row],[Income]]="LDC"),1,"")</f>
        <v/>
      </c>
      <c r="AA110" s="59" t="s">
        <v>240</v>
      </c>
      <c r="AB110" s="59" t="s">
        <v>1886</v>
      </c>
      <c r="AC110" s="59" t="s">
        <v>240</v>
      </c>
      <c r="AD110" s="59" t="s">
        <v>240</v>
      </c>
      <c r="AE110" s="59" t="s">
        <v>240</v>
      </c>
      <c r="AF110" s="59" t="s">
        <v>240</v>
      </c>
      <c r="AG110" s="59" t="s">
        <v>240</v>
      </c>
      <c r="AH110" s="59" t="s">
        <v>240</v>
      </c>
      <c r="AI110" s="59" t="s">
        <v>240</v>
      </c>
      <c r="AJ110" s="59" t="s">
        <v>240</v>
      </c>
      <c r="AK110" s="59" t="s">
        <v>240</v>
      </c>
      <c r="AL110" s="59" t="s">
        <v>1886</v>
      </c>
      <c r="AM110" s="59">
        <v>110</v>
      </c>
      <c r="AN110" s="59" t="s">
        <v>1600</v>
      </c>
    </row>
    <row r="111" spans="1:40" x14ac:dyDescent="0.2">
      <c r="A111" s="59">
        <v>277</v>
      </c>
      <c r="B111" s="59">
        <v>617</v>
      </c>
      <c r="C111" s="59" t="s">
        <v>1603</v>
      </c>
      <c r="D111" s="59" t="s">
        <v>1604</v>
      </c>
      <c r="E111" s="59" t="s">
        <v>1602</v>
      </c>
      <c r="F111" s="59" t="s">
        <v>1605</v>
      </c>
      <c r="G111" s="59" t="s">
        <v>2169</v>
      </c>
      <c r="I111" s="59">
        <v>798</v>
      </c>
      <c r="J111" s="59">
        <v>617</v>
      </c>
      <c r="K111" s="59" t="s">
        <v>2170</v>
      </c>
      <c r="L111" s="59" t="s">
        <v>1253</v>
      </c>
      <c r="M111" s="59" t="s">
        <v>1967</v>
      </c>
      <c r="N111" s="59" t="s">
        <v>1891</v>
      </c>
      <c r="O111" s="59" t="s">
        <v>1891</v>
      </c>
      <c r="P111" s="59" t="b">
        <f>List129[[#This Row],[Income2018]]=List129[[#This Row],[Income]]</f>
        <v>0</v>
      </c>
      <c r="Q111" s="59" t="s">
        <v>2171</v>
      </c>
      <c r="R111" s="59" t="s">
        <v>240</v>
      </c>
      <c r="T111" s="59" t="s">
        <v>240</v>
      </c>
      <c r="U111" s="59" t="s">
        <v>240</v>
      </c>
      <c r="V111" s="59" t="s">
        <v>1886</v>
      </c>
      <c r="W111" s="59" t="s">
        <v>240</v>
      </c>
      <c r="X111" s="59" t="s">
        <v>240</v>
      </c>
      <c r="Y111" s="59" t="s">
        <v>240</v>
      </c>
      <c r="Z111" s="61" t="str">
        <f>IF(OR(List129[[#This Row],[Fragile 2018]]=1,List129[[#This Row],[Income]]="LDC"),1,"")</f>
        <v/>
      </c>
      <c r="AA111" s="59" t="s">
        <v>240</v>
      </c>
      <c r="AB111" s="59" t="s">
        <v>1886</v>
      </c>
      <c r="AC111" s="59" t="s">
        <v>240</v>
      </c>
      <c r="AD111" s="59" t="s">
        <v>240</v>
      </c>
      <c r="AE111" s="59" t="s">
        <v>240</v>
      </c>
      <c r="AF111" s="59" t="s">
        <v>240</v>
      </c>
      <c r="AG111" s="59" t="s">
        <v>240</v>
      </c>
      <c r="AH111" s="59" t="s">
        <v>240</v>
      </c>
      <c r="AI111" s="59" t="s">
        <v>240</v>
      </c>
      <c r="AJ111" s="59" t="s">
        <v>1886</v>
      </c>
      <c r="AK111" s="59" t="s">
        <v>240</v>
      </c>
      <c r="AL111" s="59" t="s">
        <v>240</v>
      </c>
      <c r="AM111" s="59">
        <v>256</v>
      </c>
      <c r="AN111" s="59" t="s">
        <v>1603</v>
      </c>
    </row>
    <row r="112" spans="1:40" x14ac:dyDescent="0.2">
      <c r="A112" s="59">
        <v>266</v>
      </c>
      <c r="B112" s="59">
        <v>558</v>
      </c>
      <c r="C112" s="59" t="s">
        <v>1607</v>
      </c>
      <c r="D112" s="59" t="s">
        <v>1607</v>
      </c>
      <c r="E112" s="59" t="s">
        <v>1606</v>
      </c>
      <c r="F112" s="59" t="s">
        <v>1608</v>
      </c>
      <c r="G112" s="59" t="s">
        <v>2172</v>
      </c>
      <c r="I112" s="59">
        <v>798</v>
      </c>
      <c r="J112" s="59">
        <v>558</v>
      </c>
      <c r="K112" s="59" t="s">
        <v>2173</v>
      </c>
      <c r="L112" s="59" t="s">
        <v>1253</v>
      </c>
      <c r="M112" s="59" t="s">
        <v>1892</v>
      </c>
      <c r="O112" s="59" t="s">
        <v>1901</v>
      </c>
      <c r="P112" s="59" t="b">
        <f>List129[[#This Row],[Income2018]]=List129[[#This Row],[Income]]</f>
        <v>0</v>
      </c>
      <c r="Q112" s="59" t="s">
        <v>2174</v>
      </c>
      <c r="R112" s="59" t="s">
        <v>240</v>
      </c>
      <c r="T112" s="59" t="s">
        <v>240</v>
      </c>
      <c r="U112" s="59" t="s">
        <v>240</v>
      </c>
      <c r="V112" s="59" t="s">
        <v>240</v>
      </c>
      <c r="W112" s="60" t="s">
        <v>240</v>
      </c>
      <c r="X112" s="60" t="s">
        <v>240</v>
      </c>
      <c r="Y112" s="60" t="s">
        <v>240</v>
      </c>
      <c r="Z112" s="61" t="str">
        <f>IF(OR(List129[[#This Row],[Fragile 2018]]=1,List129[[#This Row],[Income]]="LDC"),1,"")</f>
        <v/>
      </c>
      <c r="AA112" s="59" t="s">
        <v>240</v>
      </c>
      <c r="AB112" s="59" t="s">
        <v>1886</v>
      </c>
      <c r="AC112" s="59" t="s">
        <v>240</v>
      </c>
      <c r="AD112" s="59" t="s">
        <v>240</v>
      </c>
      <c r="AE112" s="59" t="s">
        <v>240</v>
      </c>
      <c r="AF112" s="59" t="s">
        <v>240</v>
      </c>
      <c r="AG112" s="59" t="s">
        <v>240</v>
      </c>
      <c r="AH112" s="59" t="s">
        <v>240</v>
      </c>
      <c r="AI112" s="59" t="s">
        <v>240</v>
      </c>
      <c r="AJ112" s="59" t="s">
        <v>1886</v>
      </c>
      <c r="AK112" s="59" t="s">
        <v>240</v>
      </c>
      <c r="AL112" s="59" t="s">
        <v>240</v>
      </c>
      <c r="AM112" s="59">
        <v>232</v>
      </c>
      <c r="AN112" s="59" t="s">
        <v>1607</v>
      </c>
    </row>
    <row r="113" spans="1:40" x14ac:dyDescent="0.2">
      <c r="A113" s="59">
        <v>259</v>
      </c>
      <c r="B113" s="59">
        <v>665</v>
      </c>
      <c r="C113" s="59" t="s">
        <v>1609</v>
      </c>
      <c r="D113" s="59" t="s">
        <v>1609</v>
      </c>
      <c r="E113" s="59" t="s">
        <v>1609</v>
      </c>
      <c r="F113" s="59" t="s">
        <v>1610</v>
      </c>
      <c r="G113" s="59" t="s">
        <v>2175</v>
      </c>
      <c r="I113" s="59">
        <v>798</v>
      </c>
      <c r="J113" s="59">
        <v>665</v>
      </c>
      <c r="K113" s="59" t="s">
        <v>1610</v>
      </c>
      <c r="L113" s="59" t="s">
        <v>1253</v>
      </c>
      <c r="M113" s="59" t="s">
        <v>1967</v>
      </c>
      <c r="N113" s="59" t="s">
        <v>1891</v>
      </c>
      <c r="O113" s="59" t="s">
        <v>1891</v>
      </c>
      <c r="P113" s="59" t="b">
        <f>List129[[#This Row],[Income2018]]=List129[[#This Row],[Income]]</f>
        <v>0</v>
      </c>
      <c r="Q113" s="59" t="s">
        <v>2176</v>
      </c>
      <c r="R113" s="59" t="s">
        <v>240</v>
      </c>
      <c r="T113" s="59" t="s">
        <v>240</v>
      </c>
      <c r="U113" s="59" t="s">
        <v>240</v>
      </c>
      <c r="V113" s="59" t="s">
        <v>240</v>
      </c>
      <c r="W113" s="60" t="s">
        <v>1886</v>
      </c>
      <c r="X113" s="60" t="s">
        <v>1886</v>
      </c>
      <c r="Y113" s="60">
        <v>1</v>
      </c>
      <c r="Z113" s="61">
        <f>IF(OR(List129[[#This Row],[Fragile 2018]]=1,List129[[#This Row],[Income]]="LDC"),1,"")</f>
        <v>1</v>
      </c>
      <c r="AA113" s="59" t="s">
        <v>240</v>
      </c>
      <c r="AB113" s="59" t="s">
        <v>1886</v>
      </c>
      <c r="AC113" s="59" t="s">
        <v>240</v>
      </c>
      <c r="AD113" s="59" t="s">
        <v>240</v>
      </c>
      <c r="AE113" s="59" t="s">
        <v>240</v>
      </c>
      <c r="AF113" s="59" t="s">
        <v>240</v>
      </c>
      <c r="AG113" s="59" t="s">
        <v>240</v>
      </c>
      <c r="AH113" s="59" t="s">
        <v>240</v>
      </c>
      <c r="AI113" s="59" t="s">
        <v>240</v>
      </c>
      <c r="AJ113" s="59" t="s">
        <v>1886</v>
      </c>
      <c r="AK113" s="59" t="s">
        <v>240</v>
      </c>
      <c r="AL113" s="59" t="s">
        <v>240</v>
      </c>
      <c r="AM113" s="59">
        <v>252</v>
      </c>
      <c r="AN113" s="59" t="s">
        <v>1609</v>
      </c>
    </row>
    <row r="114" spans="1:40" x14ac:dyDescent="0.2">
      <c r="A114" s="59">
        <v>679</v>
      </c>
      <c r="B114" s="59">
        <v>861</v>
      </c>
      <c r="C114" s="59" t="s">
        <v>1611</v>
      </c>
      <c r="D114" s="59" t="s">
        <v>1611</v>
      </c>
      <c r="E114" s="59" t="s">
        <v>1611</v>
      </c>
      <c r="F114" s="59" t="s">
        <v>1612</v>
      </c>
      <c r="G114" s="59" t="s">
        <v>2177</v>
      </c>
      <c r="I114" s="59">
        <v>889</v>
      </c>
      <c r="J114" s="59">
        <v>861</v>
      </c>
      <c r="K114" s="59" t="s">
        <v>1612</v>
      </c>
      <c r="L114" s="59" t="s">
        <v>1394</v>
      </c>
      <c r="M114" s="59" t="s">
        <v>1892</v>
      </c>
      <c r="N114" s="59" t="s">
        <v>1892</v>
      </c>
      <c r="O114" s="59" t="s">
        <v>1892</v>
      </c>
      <c r="P114" s="59" t="b">
        <f>List129[[#This Row],[Income2018]]=List129[[#This Row],[Income]]</f>
        <v>1</v>
      </c>
      <c r="Q114" s="59" t="s">
        <v>2178</v>
      </c>
      <c r="R114" s="59" t="s">
        <v>240</v>
      </c>
      <c r="T114" s="59" t="s">
        <v>240</v>
      </c>
      <c r="U114" s="59" t="s">
        <v>1886</v>
      </c>
      <c r="V114" s="59" t="s">
        <v>240</v>
      </c>
      <c r="W114" s="60" t="s">
        <v>240</v>
      </c>
      <c r="X114" s="60" t="s">
        <v>240</v>
      </c>
      <c r="Y114" s="60" t="s">
        <v>240</v>
      </c>
      <c r="Z114" s="61" t="str">
        <f>IF(OR(List129[[#This Row],[Fragile 2018]]=1,List129[[#This Row],[Income]]="LDC"),1,"")</f>
        <v/>
      </c>
      <c r="AA114" s="59" t="s">
        <v>1886</v>
      </c>
      <c r="AB114" s="59" t="s">
        <v>1886</v>
      </c>
      <c r="AC114" s="59" t="s">
        <v>240</v>
      </c>
      <c r="AD114" s="59" t="s">
        <v>240</v>
      </c>
      <c r="AE114" s="59" t="s">
        <v>240</v>
      </c>
      <c r="AF114" s="59" t="s">
        <v>240</v>
      </c>
      <c r="AG114" s="59" t="s">
        <v>240</v>
      </c>
      <c r="AH114" s="59" t="s">
        <v>240</v>
      </c>
      <c r="AI114" s="59" t="s">
        <v>240</v>
      </c>
      <c r="AJ114" s="59" t="s">
        <v>240</v>
      </c>
      <c r="AK114" s="59" t="s">
        <v>1886</v>
      </c>
      <c r="AL114" s="59" t="s">
        <v>240</v>
      </c>
      <c r="AM114" s="59">
        <v>286</v>
      </c>
      <c r="AN114" s="59" t="s">
        <v>1611</v>
      </c>
    </row>
    <row r="115" spans="1:40" x14ac:dyDescent="0.2">
      <c r="A115" s="59">
        <v>325</v>
      </c>
      <c r="B115" s="59">
        <v>218</v>
      </c>
      <c r="C115" s="59" t="s">
        <v>1752</v>
      </c>
      <c r="D115" s="59" t="s">
        <v>1753</v>
      </c>
      <c r="E115" s="59" t="s">
        <v>1751</v>
      </c>
      <c r="F115" s="59" t="s">
        <v>1754</v>
      </c>
      <c r="G115" s="59" t="s">
        <v>2179</v>
      </c>
      <c r="H115" s="59" t="s">
        <v>1752</v>
      </c>
      <c r="I115" s="59">
        <v>289</v>
      </c>
      <c r="J115" s="59">
        <v>218</v>
      </c>
      <c r="K115" s="59" t="s">
        <v>2180</v>
      </c>
      <c r="L115" s="59" t="s">
        <v>1270</v>
      </c>
      <c r="M115" s="59" t="s">
        <v>1892</v>
      </c>
      <c r="N115" s="59" t="s">
        <v>1892</v>
      </c>
      <c r="O115" s="59" t="s">
        <v>1892</v>
      </c>
      <c r="P115" s="59" t="b">
        <f>List129[[#This Row],[Income2018]]=List129[[#This Row],[Income]]</f>
        <v>1</v>
      </c>
      <c r="Q115" s="59" t="s">
        <v>2181</v>
      </c>
      <c r="R115" s="59" t="s">
        <v>1886</v>
      </c>
      <c r="S115" s="59" t="s">
        <v>2113</v>
      </c>
      <c r="T115" s="59" t="s">
        <v>240</v>
      </c>
      <c r="U115" s="59" t="s">
        <v>240</v>
      </c>
      <c r="V115" s="59" t="s">
        <v>240</v>
      </c>
      <c r="W115" s="60" t="s">
        <v>240</v>
      </c>
      <c r="X115" s="60" t="s">
        <v>240</v>
      </c>
      <c r="Y115" s="60" t="s">
        <v>240</v>
      </c>
      <c r="Z115" s="61" t="str">
        <f>IF(OR(List129[[#This Row],[Fragile 2018]]=1,List129[[#This Row],[Income]]="LDC"),1,"")</f>
        <v/>
      </c>
      <c r="AA115" s="59" t="s">
        <v>1886</v>
      </c>
      <c r="AB115" s="59" t="s">
        <v>1886</v>
      </c>
      <c r="AC115" s="59" t="s">
        <v>240</v>
      </c>
      <c r="AD115" s="59" t="s">
        <v>240</v>
      </c>
      <c r="AE115" s="59" t="s">
        <v>240</v>
      </c>
      <c r="AF115" s="59" t="s">
        <v>1886</v>
      </c>
      <c r="AG115" s="59" t="s">
        <v>240</v>
      </c>
      <c r="AH115" s="59" t="s">
        <v>1886</v>
      </c>
      <c r="AI115" s="59" t="s">
        <v>240</v>
      </c>
      <c r="AJ115" s="59" t="s">
        <v>240</v>
      </c>
      <c r="AK115" s="59" t="s">
        <v>240</v>
      </c>
      <c r="AL115" s="59" t="s">
        <v>240</v>
      </c>
      <c r="AM115" s="59">
        <v>167</v>
      </c>
      <c r="AN115" s="59" t="s">
        <v>1752</v>
      </c>
    </row>
    <row r="116" spans="1:40" x14ac:dyDescent="0.2">
      <c r="A116" s="59">
        <v>418</v>
      </c>
      <c r="B116" s="59">
        <v>366</v>
      </c>
      <c r="C116" s="59" t="s">
        <v>1616</v>
      </c>
      <c r="D116" s="59" t="s">
        <v>1616</v>
      </c>
      <c r="E116" s="59" t="s">
        <v>1616</v>
      </c>
      <c r="F116" s="59" t="s">
        <v>1617</v>
      </c>
      <c r="G116" s="59" t="s">
        <v>2182</v>
      </c>
      <c r="I116" s="59">
        <v>498</v>
      </c>
      <c r="J116" s="59">
        <v>366</v>
      </c>
      <c r="K116" s="59" t="s">
        <v>1617</v>
      </c>
      <c r="L116" s="59" t="s">
        <v>1276</v>
      </c>
      <c r="M116" s="59" t="s">
        <v>1892</v>
      </c>
      <c r="N116" s="59" t="s">
        <v>1892</v>
      </c>
      <c r="O116" s="59" t="s">
        <v>1892</v>
      </c>
      <c r="P116" s="59" t="b">
        <f>List129[[#This Row],[Income2018]]=List129[[#This Row],[Income]]</f>
        <v>1</v>
      </c>
      <c r="Q116" s="59" t="s">
        <v>2183</v>
      </c>
      <c r="R116" s="59" t="s">
        <v>240</v>
      </c>
      <c r="T116" s="59" t="s">
        <v>240</v>
      </c>
      <c r="U116" s="59" t="s">
        <v>240</v>
      </c>
      <c r="V116" s="59" t="s">
        <v>240</v>
      </c>
      <c r="W116" s="60" t="s">
        <v>240</v>
      </c>
      <c r="X116" s="60" t="s">
        <v>240</v>
      </c>
      <c r="Y116" s="60" t="s">
        <v>240</v>
      </c>
      <c r="Z116" s="61" t="str">
        <f>IF(OR(List129[[#This Row],[Fragile 2018]]=1,List129[[#This Row],[Income]]="LDC"),1,"")</f>
        <v/>
      </c>
      <c r="AA116" s="59" t="s">
        <v>240</v>
      </c>
      <c r="AB116" s="59" t="s">
        <v>1886</v>
      </c>
      <c r="AC116" s="59" t="s">
        <v>240</v>
      </c>
      <c r="AD116" s="59" t="s">
        <v>240</v>
      </c>
      <c r="AE116" s="59" t="s">
        <v>240</v>
      </c>
      <c r="AF116" s="59" t="s">
        <v>240</v>
      </c>
      <c r="AG116" s="59" t="s">
        <v>240</v>
      </c>
      <c r="AH116" s="59" t="s">
        <v>240</v>
      </c>
      <c r="AI116" s="59" t="s">
        <v>1886</v>
      </c>
      <c r="AJ116" s="59" t="s">
        <v>240</v>
      </c>
      <c r="AK116" s="59" t="s">
        <v>240</v>
      </c>
      <c r="AL116" s="59" t="s">
        <v>240</v>
      </c>
      <c r="AM116" s="59">
        <v>199</v>
      </c>
      <c r="AN116" s="59" t="s">
        <v>1616</v>
      </c>
    </row>
    <row r="117" spans="1:40" x14ac:dyDescent="0.2">
      <c r="A117" s="59">
        <v>619</v>
      </c>
      <c r="B117" s="59">
        <v>862</v>
      </c>
      <c r="C117" s="59" t="s">
        <v>1619</v>
      </c>
      <c r="D117" s="59" t="s">
        <v>1620</v>
      </c>
      <c r="E117" s="59" t="s">
        <v>1618</v>
      </c>
      <c r="F117" s="59" t="s">
        <v>1621</v>
      </c>
      <c r="G117" s="59" t="s">
        <v>2184</v>
      </c>
      <c r="I117" s="59">
        <v>889</v>
      </c>
      <c r="J117" s="59">
        <v>862</v>
      </c>
      <c r="K117" s="59" t="s">
        <v>2185</v>
      </c>
      <c r="L117" s="59" t="s">
        <v>1394</v>
      </c>
      <c r="M117" s="59" t="s">
        <v>1967</v>
      </c>
      <c r="N117" s="59" t="s">
        <v>1891</v>
      </c>
      <c r="O117" s="59" t="s">
        <v>1891</v>
      </c>
      <c r="P117" s="59" t="b">
        <f>List129[[#This Row],[Income2018]]=List129[[#This Row],[Income]]</f>
        <v>0</v>
      </c>
      <c r="Q117" s="59" t="s">
        <v>2186</v>
      </c>
      <c r="R117" s="59" t="s">
        <v>240</v>
      </c>
      <c r="T117" s="59" t="s">
        <v>240</v>
      </c>
      <c r="U117" s="59" t="s">
        <v>1886</v>
      </c>
      <c r="V117" s="59" t="s">
        <v>240</v>
      </c>
      <c r="W117" s="60" t="s">
        <v>240</v>
      </c>
      <c r="X117" s="60" t="s">
        <v>240</v>
      </c>
      <c r="Y117" s="60">
        <v>1</v>
      </c>
      <c r="Z117" s="61">
        <f>IF(OR(List129[[#This Row],[Fragile 2018]]=1,List129[[#This Row],[Income]]="LDC"),1,"")</f>
        <v>1</v>
      </c>
      <c r="AA117" s="59" t="s">
        <v>1886</v>
      </c>
      <c r="AB117" s="59" t="s">
        <v>1886</v>
      </c>
      <c r="AC117" s="59" t="s">
        <v>240</v>
      </c>
      <c r="AD117" s="59" t="s">
        <v>240</v>
      </c>
      <c r="AE117" s="59" t="s">
        <v>240</v>
      </c>
      <c r="AF117" s="59" t="s">
        <v>240</v>
      </c>
      <c r="AG117" s="59" t="s">
        <v>240</v>
      </c>
      <c r="AH117" s="59" t="s">
        <v>240</v>
      </c>
      <c r="AI117" s="59" t="s">
        <v>240</v>
      </c>
      <c r="AJ117" s="59" t="s">
        <v>240</v>
      </c>
      <c r="AK117" s="59" t="s">
        <v>1886</v>
      </c>
      <c r="AL117" s="59" t="s">
        <v>240</v>
      </c>
      <c r="AM117" s="59">
        <v>287</v>
      </c>
      <c r="AN117" s="59" t="s">
        <v>1619</v>
      </c>
    </row>
    <row r="118" spans="1:40" x14ac:dyDescent="0.2">
      <c r="A118" s="59">
        <v>517</v>
      </c>
      <c r="B118" s="59">
        <v>451</v>
      </c>
      <c r="C118" s="59" t="s">
        <v>1622</v>
      </c>
      <c r="D118" s="59" t="s">
        <v>1622</v>
      </c>
      <c r="E118" s="59" t="s">
        <v>1622</v>
      </c>
      <c r="F118" s="59" t="s">
        <v>1623</v>
      </c>
      <c r="G118" s="59" t="s">
        <v>2187</v>
      </c>
      <c r="I118" s="59">
        <v>498</v>
      </c>
      <c r="J118" s="59">
        <v>451</v>
      </c>
      <c r="K118" s="59" t="s">
        <v>2188</v>
      </c>
      <c r="L118" s="59" t="s">
        <v>1276</v>
      </c>
      <c r="M118" s="59" t="s">
        <v>1891</v>
      </c>
      <c r="N118" s="59" t="s">
        <v>1892</v>
      </c>
      <c r="O118" s="59" t="s">
        <v>1892</v>
      </c>
      <c r="P118" s="59" t="b">
        <f>List129[[#This Row],[Income2018]]=List129[[#This Row],[Income]]</f>
        <v>0</v>
      </c>
      <c r="Q118" s="59" t="s">
        <v>2189</v>
      </c>
      <c r="R118" s="59" t="s">
        <v>240</v>
      </c>
      <c r="T118" s="59" t="s">
        <v>240</v>
      </c>
      <c r="U118" s="59" t="s">
        <v>240</v>
      </c>
      <c r="V118" s="59" t="s">
        <v>1886</v>
      </c>
      <c r="W118" s="60" t="s">
        <v>240</v>
      </c>
      <c r="X118" s="60" t="s">
        <v>240</v>
      </c>
      <c r="Y118" s="60" t="s">
        <v>240</v>
      </c>
      <c r="Z118" s="61" t="str">
        <f>IF(OR(List129[[#This Row],[Fragile 2018]]=1,List129[[#This Row],[Income]]="LDC"),1,"")</f>
        <v/>
      </c>
      <c r="AA118" s="59" t="s">
        <v>240</v>
      </c>
      <c r="AB118" s="59" t="s">
        <v>1886</v>
      </c>
      <c r="AC118" s="59" t="s">
        <v>240</v>
      </c>
      <c r="AD118" s="59" t="s">
        <v>240</v>
      </c>
      <c r="AE118" s="59" t="s">
        <v>240</v>
      </c>
      <c r="AF118" s="59" t="s">
        <v>240</v>
      </c>
      <c r="AG118" s="59" t="s">
        <v>240</v>
      </c>
      <c r="AH118" s="59" t="s">
        <v>240</v>
      </c>
      <c r="AI118" s="59" t="s">
        <v>1886</v>
      </c>
      <c r="AJ118" s="59" t="s">
        <v>240</v>
      </c>
      <c r="AK118" s="59" t="s">
        <v>240</v>
      </c>
      <c r="AL118" s="59" t="s">
        <v>240</v>
      </c>
      <c r="AM118" s="59">
        <v>216</v>
      </c>
      <c r="AN118" s="59" t="s">
        <v>1622</v>
      </c>
    </row>
    <row r="119" spans="1:40" x14ac:dyDescent="0.2">
      <c r="A119" s="59">
        <v>278</v>
      </c>
      <c r="B119" s="59">
        <v>550</v>
      </c>
      <c r="C119" s="59" t="s">
        <v>1613</v>
      </c>
      <c r="D119" s="59" t="s">
        <v>1614</v>
      </c>
      <c r="E119" s="59" t="s">
        <v>877</v>
      </c>
      <c r="F119" s="59" t="s">
        <v>1615</v>
      </c>
      <c r="G119" s="59" t="s">
        <v>2190</v>
      </c>
      <c r="H119" s="59" t="s">
        <v>1613</v>
      </c>
      <c r="I119" s="59">
        <v>798</v>
      </c>
      <c r="J119" s="59">
        <v>550</v>
      </c>
      <c r="K119" s="59" t="s">
        <v>2191</v>
      </c>
      <c r="L119" s="59" t="s">
        <v>1253</v>
      </c>
      <c r="M119" s="59" t="s">
        <v>1891</v>
      </c>
      <c r="N119" s="59" t="s">
        <v>1891</v>
      </c>
      <c r="O119" s="59" t="s">
        <v>1891</v>
      </c>
      <c r="P119" s="59" t="b">
        <f>List129[[#This Row],[Income2018]]=List129[[#This Row],[Income]]</f>
        <v>1</v>
      </c>
      <c r="Q119" s="59" t="s">
        <v>2192</v>
      </c>
      <c r="R119" s="59" t="s">
        <v>1886</v>
      </c>
      <c r="S119" s="59" t="s">
        <v>1615</v>
      </c>
      <c r="T119" s="59" t="s">
        <v>240</v>
      </c>
      <c r="U119" s="59" t="s">
        <v>240</v>
      </c>
      <c r="V119" s="59" t="s">
        <v>240</v>
      </c>
      <c r="W119" s="60" t="s">
        <v>1886</v>
      </c>
      <c r="X119" s="60" t="s">
        <v>1886</v>
      </c>
      <c r="Y119" s="60">
        <v>1</v>
      </c>
      <c r="Z119" s="61">
        <f>IF(OR(List129[[#This Row],[Fragile 2018]]=1,List129[[#This Row],[Income]]="LDC"),1,"")</f>
        <v>1</v>
      </c>
      <c r="AA119" s="59" t="s">
        <v>240</v>
      </c>
      <c r="AB119" s="59" t="s">
        <v>1886</v>
      </c>
      <c r="AC119" s="59" t="s">
        <v>240</v>
      </c>
      <c r="AD119" s="59" t="s">
        <v>240</v>
      </c>
      <c r="AE119" s="59" t="s">
        <v>240</v>
      </c>
      <c r="AF119" s="59" t="s">
        <v>240</v>
      </c>
      <c r="AG119" s="59" t="s">
        <v>240</v>
      </c>
      <c r="AH119" s="59" t="s">
        <v>240</v>
      </c>
      <c r="AI119" s="59" t="s">
        <v>240</v>
      </c>
      <c r="AJ119" s="59" t="s">
        <v>1886</v>
      </c>
      <c r="AK119" s="59" t="s">
        <v>240</v>
      </c>
      <c r="AL119" s="59" t="s">
        <v>240</v>
      </c>
      <c r="AM119" s="59">
        <v>233</v>
      </c>
      <c r="AN119" s="59" t="s">
        <v>1613</v>
      </c>
    </row>
    <row r="120" spans="1:40" x14ac:dyDescent="0.2">
      <c r="A120" s="59">
        <v>931</v>
      </c>
      <c r="B120" s="59">
        <v>189</v>
      </c>
      <c r="C120" s="59" t="s">
        <v>1767</v>
      </c>
      <c r="D120" s="59" t="s">
        <v>1768</v>
      </c>
      <c r="E120" s="59" t="s">
        <v>1769</v>
      </c>
      <c r="F120" s="59" t="s">
        <v>1763</v>
      </c>
      <c r="I120" s="59">
        <v>189</v>
      </c>
      <c r="J120" s="59">
        <v>189</v>
      </c>
      <c r="K120" s="59" t="s">
        <v>2193</v>
      </c>
      <c r="L120" s="59" t="s">
        <v>1265</v>
      </c>
      <c r="M120" s="59" t="s">
        <v>1891</v>
      </c>
      <c r="O120" s="59" t="s">
        <v>1884</v>
      </c>
      <c r="P120" s="59" t="b">
        <f>List129[[#This Row],[Income2018]]=List129[[#This Row],[Income]]</f>
        <v>0</v>
      </c>
      <c r="Q120" s="59" t="s">
        <v>2194</v>
      </c>
      <c r="R120" s="59" t="s">
        <v>240</v>
      </c>
      <c r="T120" s="59" t="s">
        <v>240</v>
      </c>
      <c r="U120" s="59" t="s">
        <v>240</v>
      </c>
      <c r="V120" s="59" t="s">
        <v>240</v>
      </c>
      <c r="W120" s="60" t="s">
        <v>240</v>
      </c>
      <c r="X120" s="60" t="s">
        <v>240</v>
      </c>
      <c r="Y120" s="60" t="s">
        <v>240</v>
      </c>
      <c r="Z120" s="61" t="str">
        <f>IF(OR(List129[[#This Row],[Fragile 2018]]=1,List129[[#This Row],[Income]]="LDC"),1,"")</f>
        <v/>
      </c>
      <c r="AA120" s="59" t="s">
        <v>240</v>
      </c>
      <c r="AB120" s="59" t="s">
        <v>1886</v>
      </c>
      <c r="AC120" s="59" t="s">
        <v>240</v>
      </c>
      <c r="AD120" s="59" t="s">
        <v>240</v>
      </c>
      <c r="AE120" s="59" t="s">
        <v>240</v>
      </c>
      <c r="AF120" s="59" t="s">
        <v>1886</v>
      </c>
      <c r="AG120" s="59" t="s">
        <v>1886</v>
      </c>
      <c r="AH120" s="59" t="s">
        <v>240</v>
      </c>
      <c r="AI120" s="59" t="s">
        <v>240</v>
      </c>
      <c r="AJ120" s="59" t="s">
        <v>240</v>
      </c>
      <c r="AK120" s="59" t="s">
        <v>240</v>
      </c>
      <c r="AL120" s="59" t="s">
        <v>240</v>
      </c>
      <c r="AM120" s="59">
        <v>122</v>
      </c>
      <c r="AN120" s="59" t="s">
        <v>1767</v>
      </c>
    </row>
    <row r="121" spans="1:40" x14ac:dyDescent="0.2">
      <c r="A121" s="62">
        <v>938</v>
      </c>
      <c r="B121" s="62">
        <v>289</v>
      </c>
      <c r="C121" s="62" t="s">
        <v>1772</v>
      </c>
      <c r="D121" s="59" t="s">
        <v>1773</v>
      </c>
      <c r="E121" s="59" t="s">
        <v>1774</v>
      </c>
      <c r="F121" s="62" t="s">
        <v>1763</v>
      </c>
      <c r="I121" s="59">
        <v>289</v>
      </c>
      <c r="J121" s="62">
        <v>289</v>
      </c>
      <c r="K121" s="62" t="s">
        <v>2195</v>
      </c>
      <c r="L121" s="62" t="s">
        <v>1270</v>
      </c>
      <c r="M121" s="59" t="s">
        <v>1967</v>
      </c>
      <c r="O121" s="59" t="s">
        <v>1884</v>
      </c>
      <c r="P121" s="59" t="b">
        <f>List129[[#This Row],[Income2018]]=List129[[#This Row],[Income]]</f>
        <v>0</v>
      </c>
      <c r="Q121" s="59" t="s">
        <v>2196</v>
      </c>
      <c r="R121" s="62" t="s">
        <v>240</v>
      </c>
      <c r="S121" s="62"/>
      <c r="T121" s="62" t="s">
        <v>1886</v>
      </c>
      <c r="U121" s="62" t="s">
        <v>240</v>
      </c>
      <c r="V121" s="62" t="s">
        <v>240</v>
      </c>
      <c r="W121" s="60" t="s">
        <v>240</v>
      </c>
      <c r="X121" s="60" t="s">
        <v>240</v>
      </c>
      <c r="Y121" s="60" t="s">
        <v>240</v>
      </c>
      <c r="Z121" s="61" t="str">
        <f>IF(OR(List129[[#This Row],[Fragile 2018]]=1,List129[[#This Row],[Income]]="LDC"),1,"")</f>
        <v/>
      </c>
      <c r="AA121" s="62" t="s">
        <v>240</v>
      </c>
      <c r="AB121" s="62" t="s">
        <v>1886</v>
      </c>
      <c r="AC121" s="62" t="s">
        <v>240</v>
      </c>
      <c r="AD121" s="59" t="s">
        <v>240</v>
      </c>
      <c r="AE121" s="59" t="s">
        <v>240</v>
      </c>
      <c r="AF121" s="62" t="s">
        <v>1886</v>
      </c>
      <c r="AG121" s="62" t="s">
        <v>240</v>
      </c>
      <c r="AH121" s="62" t="s">
        <v>1886</v>
      </c>
      <c r="AI121" s="62" t="s">
        <v>240</v>
      </c>
      <c r="AJ121" s="62" t="s">
        <v>240</v>
      </c>
      <c r="AK121" s="62" t="s">
        <v>240</v>
      </c>
      <c r="AL121" s="62" t="s">
        <v>240</v>
      </c>
      <c r="AM121" s="62">
        <v>175</v>
      </c>
      <c r="AN121" s="59" t="s">
        <v>1772</v>
      </c>
    </row>
    <row r="122" spans="1:40" x14ac:dyDescent="0.2">
      <c r="A122" s="59">
        <v>941</v>
      </c>
      <c r="B122" s="59">
        <v>380</v>
      </c>
      <c r="C122" s="59" t="s">
        <v>2197</v>
      </c>
      <c r="D122" s="59" t="s">
        <v>2198</v>
      </c>
      <c r="E122" s="59" t="s">
        <v>2199</v>
      </c>
      <c r="F122" s="59" t="s">
        <v>1800</v>
      </c>
      <c r="I122" s="59">
        <v>498</v>
      </c>
      <c r="J122" s="59">
        <v>380</v>
      </c>
      <c r="K122" s="59" t="s">
        <v>2200</v>
      </c>
      <c r="L122" s="59" t="s">
        <v>1276</v>
      </c>
      <c r="O122" s="59" t="s">
        <v>2201</v>
      </c>
      <c r="P122" s="59" t="b">
        <f>List129[[#This Row],[Income2018]]=List129[[#This Row],[Income]]</f>
        <v>1</v>
      </c>
      <c r="Q122" s="59" t="s">
        <v>2201</v>
      </c>
      <c r="R122" s="59" t="s">
        <v>240</v>
      </c>
      <c r="T122" s="59" t="s">
        <v>240</v>
      </c>
      <c r="U122" s="59" t="s">
        <v>240</v>
      </c>
      <c r="V122" s="59" t="s">
        <v>240</v>
      </c>
      <c r="W122" s="60" t="s">
        <v>240</v>
      </c>
      <c r="X122" s="60" t="s">
        <v>240</v>
      </c>
      <c r="Y122" s="60" t="s">
        <v>240</v>
      </c>
      <c r="Z122" s="61" t="str">
        <f>IF(OR(List129[[#This Row],[Fragile 2018]]=1,List129[[#This Row],[Income]]="LDC"),1,"")</f>
        <v/>
      </c>
      <c r="AA122" s="59" t="s">
        <v>240</v>
      </c>
      <c r="AB122" s="59" t="s">
        <v>1886</v>
      </c>
      <c r="AC122" s="59" t="s">
        <v>240</v>
      </c>
      <c r="AD122" s="59" t="s">
        <v>240</v>
      </c>
      <c r="AE122" s="59" t="s">
        <v>240</v>
      </c>
      <c r="AF122" s="59" t="s">
        <v>240</v>
      </c>
      <c r="AG122" s="59" t="s">
        <v>240</v>
      </c>
      <c r="AH122" s="59" t="s">
        <v>240</v>
      </c>
      <c r="AI122" s="59" t="s">
        <v>1886</v>
      </c>
      <c r="AJ122" s="59" t="s">
        <v>240</v>
      </c>
      <c r="AK122" s="59" t="s">
        <v>240</v>
      </c>
      <c r="AL122" s="59" t="s">
        <v>240</v>
      </c>
      <c r="AM122" s="59">
        <v>205</v>
      </c>
      <c r="AN122" s="59" t="s">
        <v>2197</v>
      </c>
    </row>
    <row r="123" spans="1:40" x14ac:dyDescent="0.2">
      <c r="A123" s="59">
        <v>928</v>
      </c>
      <c r="B123" s="59">
        <v>789</v>
      </c>
      <c r="C123" s="59" t="s">
        <v>1822</v>
      </c>
      <c r="D123" s="59" t="s">
        <v>1823</v>
      </c>
      <c r="E123" s="59" t="s">
        <v>1824</v>
      </c>
      <c r="F123" s="59" t="s">
        <v>1815</v>
      </c>
      <c r="I123" s="59">
        <v>798</v>
      </c>
      <c r="J123" s="59">
        <v>789</v>
      </c>
      <c r="K123" s="59" t="s">
        <v>2202</v>
      </c>
      <c r="L123" s="59" t="s">
        <v>1253</v>
      </c>
      <c r="M123" s="59" t="s">
        <v>1891</v>
      </c>
      <c r="O123" s="59" t="s">
        <v>1884</v>
      </c>
      <c r="P123" s="59" t="b">
        <f>List129[[#This Row],[Income2018]]=List129[[#This Row],[Income]]</f>
        <v>0</v>
      </c>
      <c r="Q123" s="59" t="s">
        <v>2203</v>
      </c>
      <c r="R123" s="59" t="s">
        <v>240</v>
      </c>
      <c r="T123" s="59" t="s">
        <v>240</v>
      </c>
      <c r="U123" s="59" t="s">
        <v>240</v>
      </c>
      <c r="V123" s="59" t="s">
        <v>240</v>
      </c>
      <c r="W123" s="60" t="s">
        <v>240</v>
      </c>
      <c r="X123" s="60" t="s">
        <v>240</v>
      </c>
      <c r="Y123" s="60" t="s">
        <v>240</v>
      </c>
      <c r="Z123" s="61" t="str">
        <f>IF(OR(List129[[#This Row],[Fragile 2018]]=1,List129[[#This Row],[Income]]="LDC"),1,"")</f>
        <v/>
      </c>
      <c r="AA123" s="59" t="s">
        <v>240</v>
      </c>
      <c r="AB123" s="59" t="s">
        <v>1886</v>
      </c>
      <c r="AC123" s="59" t="s">
        <v>240</v>
      </c>
      <c r="AD123" s="59" t="s">
        <v>240</v>
      </c>
      <c r="AE123" s="59" t="s">
        <v>240</v>
      </c>
      <c r="AF123" s="59" t="s">
        <v>240</v>
      </c>
      <c r="AG123" s="59" t="s">
        <v>240</v>
      </c>
      <c r="AH123" s="59" t="s">
        <v>240</v>
      </c>
      <c r="AI123" s="59" t="s">
        <v>240</v>
      </c>
      <c r="AJ123" s="59" t="s">
        <v>1886</v>
      </c>
      <c r="AK123" s="59" t="s">
        <v>240</v>
      </c>
      <c r="AL123" s="59" t="s">
        <v>240</v>
      </c>
      <c r="AM123" s="59">
        <v>273</v>
      </c>
      <c r="AN123" s="59" t="s">
        <v>1822</v>
      </c>
    </row>
    <row r="124" spans="1:40" x14ac:dyDescent="0.2">
      <c r="A124" s="62">
        <v>935</v>
      </c>
      <c r="B124" s="62">
        <v>289</v>
      </c>
      <c r="C124" s="62" t="s">
        <v>1777</v>
      </c>
      <c r="D124" s="59" t="s">
        <v>1778</v>
      </c>
      <c r="E124" s="59" t="s">
        <v>1779</v>
      </c>
      <c r="F124" s="62" t="s">
        <v>1763</v>
      </c>
      <c r="I124" s="59">
        <v>289</v>
      </c>
      <c r="J124" s="62">
        <v>289</v>
      </c>
      <c r="K124" s="62" t="s">
        <v>2195</v>
      </c>
      <c r="L124" s="62" t="s">
        <v>1270</v>
      </c>
      <c r="M124" s="62" t="s">
        <v>1888</v>
      </c>
      <c r="N124" s="62"/>
      <c r="O124" s="62" t="s">
        <v>1884</v>
      </c>
      <c r="P124" s="62" t="b">
        <f>List129[[#This Row],[Income2018]]=List129[[#This Row],[Income]]</f>
        <v>0</v>
      </c>
      <c r="Q124" s="62" t="s">
        <v>2196</v>
      </c>
      <c r="R124" s="62" t="s">
        <v>240</v>
      </c>
      <c r="S124" s="62"/>
      <c r="T124" s="62" t="s">
        <v>1886</v>
      </c>
      <c r="U124" s="62" t="s">
        <v>240</v>
      </c>
      <c r="V124" s="62" t="s">
        <v>240</v>
      </c>
      <c r="W124" s="60" t="s">
        <v>240</v>
      </c>
      <c r="X124" s="60" t="s">
        <v>240</v>
      </c>
      <c r="Y124" s="60" t="s">
        <v>240</v>
      </c>
      <c r="Z124" s="61">
        <f>IF(OR(List129[[#This Row],[Fragile 2018]]=1,List129[[#This Row],[Income]]="LDC"),1,"")</f>
        <v>1</v>
      </c>
      <c r="AA124" s="62" t="s">
        <v>240</v>
      </c>
      <c r="AB124" s="62" t="s">
        <v>1886</v>
      </c>
      <c r="AC124" s="62" t="s">
        <v>240</v>
      </c>
      <c r="AD124" s="59" t="s">
        <v>240</v>
      </c>
      <c r="AE124" s="59" t="s">
        <v>240</v>
      </c>
      <c r="AF124" s="62" t="s">
        <v>1886</v>
      </c>
      <c r="AG124" s="62" t="s">
        <v>240</v>
      </c>
      <c r="AH124" s="62" t="s">
        <v>1886</v>
      </c>
      <c r="AI124" s="62" t="s">
        <v>240</v>
      </c>
      <c r="AJ124" s="62" t="s">
        <v>240</v>
      </c>
      <c r="AK124" s="62" t="s">
        <v>240</v>
      </c>
      <c r="AL124" s="62" t="s">
        <v>240</v>
      </c>
      <c r="AM124" s="62">
        <v>181</v>
      </c>
      <c r="AN124" s="59" t="s">
        <v>1777</v>
      </c>
    </row>
    <row r="125" spans="1:40" x14ac:dyDescent="0.2">
      <c r="A125" s="59">
        <v>925</v>
      </c>
      <c r="B125" s="59">
        <v>619</v>
      </c>
      <c r="C125" s="59" t="s">
        <v>1812</v>
      </c>
      <c r="D125" s="59" t="s">
        <v>1813</v>
      </c>
      <c r="E125" s="59" t="s">
        <v>1814</v>
      </c>
      <c r="F125" s="59" t="s">
        <v>1815</v>
      </c>
      <c r="I125" s="59">
        <v>798</v>
      </c>
      <c r="J125" s="59">
        <v>619</v>
      </c>
      <c r="K125" s="59" t="s">
        <v>2204</v>
      </c>
      <c r="L125" s="59" t="s">
        <v>1253</v>
      </c>
      <c r="M125" s="59" t="s">
        <v>1891</v>
      </c>
      <c r="O125" s="59" t="s">
        <v>1884</v>
      </c>
      <c r="P125" s="59" t="b">
        <f>List129[[#This Row],[Income2018]]=List129[[#This Row],[Income]]</f>
        <v>0</v>
      </c>
      <c r="Q125" s="59" t="s">
        <v>2205</v>
      </c>
      <c r="R125" s="59" t="s">
        <v>240</v>
      </c>
      <c r="T125" s="59" t="s">
        <v>240</v>
      </c>
      <c r="U125" s="59" t="s">
        <v>240</v>
      </c>
      <c r="V125" s="59" t="s">
        <v>240</v>
      </c>
      <c r="W125" s="60" t="s">
        <v>240</v>
      </c>
      <c r="X125" s="60" t="s">
        <v>240</v>
      </c>
      <c r="Y125" s="60" t="s">
        <v>240</v>
      </c>
      <c r="Z125" s="61" t="str">
        <f>IF(OR(List129[[#This Row],[Fragile 2018]]=1,List129[[#This Row],[Income]]="LDC"),1,"")</f>
        <v/>
      </c>
      <c r="AA125" s="59" t="s">
        <v>240</v>
      </c>
      <c r="AB125" s="59" t="s">
        <v>1886</v>
      </c>
      <c r="AC125" s="59" t="s">
        <v>240</v>
      </c>
      <c r="AD125" s="59" t="s">
        <v>240</v>
      </c>
      <c r="AE125" s="59" t="s">
        <v>240</v>
      </c>
      <c r="AF125" s="59" t="s">
        <v>240</v>
      </c>
      <c r="AG125" s="59" t="s">
        <v>240</v>
      </c>
      <c r="AH125" s="59" t="s">
        <v>240</v>
      </c>
      <c r="AI125" s="59" t="s">
        <v>240</v>
      </c>
      <c r="AJ125" s="59" t="s">
        <v>1886</v>
      </c>
      <c r="AK125" s="59" t="s">
        <v>240</v>
      </c>
      <c r="AL125" s="59" t="s">
        <v>240</v>
      </c>
      <c r="AM125" s="59">
        <v>257</v>
      </c>
      <c r="AN125" s="59" t="s">
        <v>1812</v>
      </c>
    </row>
    <row r="126" spans="1:40" x14ac:dyDescent="0.2">
      <c r="A126" s="59">
        <v>910</v>
      </c>
      <c r="B126" s="59">
        <v>89</v>
      </c>
      <c r="C126" s="59" t="s">
        <v>1841</v>
      </c>
      <c r="D126" s="59" t="s">
        <v>1842</v>
      </c>
      <c r="E126" s="59" t="s">
        <v>1843</v>
      </c>
      <c r="F126" s="59" t="s">
        <v>1844</v>
      </c>
      <c r="I126" s="59">
        <v>89</v>
      </c>
      <c r="J126" s="59">
        <v>89</v>
      </c>
      <c r="K126" s="59" t="s">
        <v>2206</v>
      </c>
      <c r="L126" s="59" t="s">
        <v>1259</v>
      </c>
      <c r="M126" s="59" t="s">
        <v>1892</v>
      </c>
      <c r="O126" s="59" t="s">
        <v>1884</v>
      </c>
      <c r="P126" s="59" t="b">
        <f>List129[[#This Row],[Income2018]]=List129[[#This Row],[Income]]</f>
        <v>0</v>
      </c>
      <c r="Q126" s="59" t="s">
        <v>2207</v>
      </c>
      <c r="R126" s="59" t="s">
        <v>240</v>
      </c>
      <c r="T126" s="59" t="s">
        <v>240</v>
      </c>
      <c r="U126" s="59" t="s">
        <v>240</v>
      </c>
      <c r="V126" s="59" t="s">
        <v>240</v>
      </c>
      <c r="W126" s="60" t="s">
        <v>240</v>
      </c>
      <c r="X126" s="60" t="s">
        <v>240</v>
      </c>
      <c r="Y126" s="60" t="s">
        <v>240</v>
      </c>
      <c r="Z126" s="61" t="str">
        <f>IF(OR(List129[[#This Row],[Fragile 2018]]=1,List129[[#This Row],[Income]]="LDC"),1,"")</f>
        <v/>
      </c>
      <c r="AA126" s="59" t="s">
        <v>240</v>
      </c>
      <c r="AB126" s="59" t="s">
        <v>1886</v>
      </c>
      <c r="AC126" s="59" t="s">
        <v>240</v>
      </c>
      <c r="AD126" s="59" t="s">
        <v>240</v>
      </c>
      <c r="AE126" s="59" t="s">
        <v>240</v>
      </c>
      <c r="AF126" s="59" t="s">
        <v>240</v>
      </c>
      <c r="AG126" s="59" t="s">
        <v>240</v>
      </c>
      <c r="AH126" s="59" t="s">
        <v>240</v>
      </c>
      <c r="AI126" s="59" t="s">
        <v>240</v>
      </c>
      <c r="AJ126" s="59" t="s">
        <v>240</v>
      </c>
      <c r="AK126" s="59" t="s">
        <v>240</v>
      </c>
      <c r="AL126" s="59" t="s">
        <v>1886</v>
      </c>
      <c r="AM126" s="59">
        <v>112</v>
      </c>
      <c r="AN126" s="59" t="s">
        <v>1841</v>
      </c>
    </row>
    <row r="127" spans="1:40" x14ac:dyDescent="0.2">
      <c r="A127" s="59">
        <v>926</v>
      </c>
      <c r="B127" s="59">
        <v>589</v>
      </c>
      <c r="C127" s="59" t="s">
        <v>1836</v>
      </c>
      <c r="D127" s="59" t="s">
        <v>1837</v>
      </c>
      <c r="E127" s="59" t="s">
        <v>1838</v>
      </c>
      <c r="F127" s="59" t="s">
        <v>1815</v>
      </c>
      <c r="I127" s="59">
        <v>798</v>
      </c>
      <c r="J127" s="59">
        <v>589</v>
      </c>
      <c r="K127" s="59" t="s">
        <v>2208</v>
      </c>
      <c r="L127" s="59" t="s">
        <v>1253</v>
      </c>
      <c r="M127" s="59" t="s">
        <v>1891</v>
      </c>
      <c r="O127" s="59" t="s">
        <v>1884</v>
      </c>
      <c r="P127" s="59" t="b">
        <f>List129[[#This Row],[Income2018]]=List129[[#This Row],[Income]]</f>
        <v>0</v>
      </c>
      <c r="Q127" s="59" t="s">
        <v>2209</v>
      </c>
      <c r="R127" s="59" t="s">
        <v>240</v>
      </c>
      <c r="T127" s="59" t="s">
        <v>240</v>
      </c>
      <c r="U127" s="59" t="s">
        <v>240</v>
      </c>
      <c r="V127" s="59" t="s">
        <v>240</v>
      </c>
      <c r="W127" s="60" t="s">
        <v>240</v>
      </c>
      <c r="X127" s="60" t="s">
        <v>240</v>
      </c>
      <c r="Y127" s="60" t="s">
        <v>240</v>
      </c>
      <c r="Z127" s="61" t="str">
        <f>IF(OR(List129[[#This Row],[Fragile 2018]]=1,List129[[#This Row],[Income]]="LDC"),1,"")</f>
        <v/>
      </c>
      <c r="AA127" s="59" t="s">
        <v>240</v>
      </c>
      <c r="AB127" s="59" t="s">
        <v>1886</v>
      </c>
      <c r="AC127" s="59" t="s">
        <v>240</v>
      </c>
      <c r="AD127" s="59" t="s">
        <v>240</v>
      </c>
      <c r="AE127" s="59" t="s">
        <v>240</v>
      </c>
      <c r="AF127" s="59" t="s">
        <v>240</v>
      </c>
      <c r="AG127" s="59" t="s">
        <v>240</v>
      </c>
      <c r="AH127" s="59" t="s">
        <v>240</v>
      </c>
      <c r="AI127" s="59" t="s">
        <v>240</v>
      </c>
      <c r="AJ127" s="59" t="s">
        <v>1886</v>
      </c>
      <c r="AK127" s="59" t="s">
        <v>240</v>
      </c>
      <c r="AL127" s="59" t="s">
        <v>240</v>
      </c>
      <c r="AM127" s="59">
        <v>237</v>
      </c>
      <c r="AN127" s="59" t="s">
        <v>1836</v>
      </c>
    </row>
    <row r="128" spans="1:40" x14ac:dyDescent="0.2">
      <c r="A128" s="59">
        <v>948</v>
      </c>
      <c r="B128" s="59">
        <v>389</v>
      </c>
      <c r="C128" s="59" t="s">
        <v>1802</v>
      </c>
      <c r="D128" s="59" t="s">
        <v>1803</v>
      </c>
      <c r="E128" s="59" t="s">
        <v>1804</v>
      </c>
      <c r="F128" s="59" t="s">
        <v>1800</v>
      </c>
      <c r="I128" s="59">
        <v>498</v>
      </c>
      <c r="J128" s="59">
        <v>389</v>
      </c>
      <c r="K128" s="59" t="s">
        <v>2210</v>
      </c>
      <c r="L128" s="59" t="s">
        <v>1276</v>
      </c>
      <c r="M128" s="59" t="s">
        <v>1891</v>
      </c>
      <c r="O128" s="59" t="s">
        <v>1884</v>
      </c>
      <c r="P128" s="59" t="b">
        <f>List129[[#This Row],[Income2018]]=List129[[#This Row],[Income]]</f>
        <v>0</v>
      </c>
      <c r="Q128" s="59" t="s">
        <v>2211</v>
      </c>
      <c r="R128" s="59" t="s">
        <v>240</v>
      </c>
      <c r="T128" s="59" t="s">
        <v>240</v>
      </c>
      <c r="U128" s="59" t="s">
        <v>240</v>
      </c>
      <c r="V128" s="59" t="s">
        <v>240</v>
      </c>
      <c r="W128" s="60" t="s">
        <v>240</v>
      </c>
      <c r="X128" s="60" t="s">
        <v>240</v>
      </c>
      <c r="Y128" s="60" t="s">
        <v>240</v>
      </c>
      <c r="Z128" s="61" t="str">
        <f>IF(OR(List129[[#This Row],[Fragile 2018]]=1,List129[[#This Row],[Income]]="LDC"),1,"")</f>
        <v/>
      </c>
      <c r="AA128" s="59" t="s">
        <v>240</v>
      </c>
      <c r="AB128" s="59" t="s">
        <v>1886</v>
      </c>
      <c r="AC128" s="59" t="s">
        <v>240</v>
      </c>
      <c r="AD128" s="59" t="s">
        <v>240</v>
      </c>
      <c r="AE128" s="59" t="s">
        <v>240</v>
      </c>
      <c r="AF128" s="59" t="s">
        <v>240</v>
      </c>
      <c r="AG128" s="59" t="s">
        <v>240</v>
      </c>
      <c r="AH128" s="59" t="s">
        <v>240</v>
      </c>
      <c r="AI128" s="59" t="s">
        <v>1886</v>
      </c>
      <c r="AJ128" s="59" t="s">
        <v>240</v>
      </c>
      <c r="AK128" s="59" t="s">
        <v>240</v>
      </c>
      <c r="AL128" s="59" t="s">
        <v>240</v>
      </c>
      <c r="AM128" s="59">
        <v>206</v>
      </c>
      <c r="AN128" s="59" t="s">
        <v>1802</v>
      </c>
    </row>
    <row r="129" spans="1:40" x14ac:dyDescent="0.2">
      <c r="A129" s="62">
        <v>936</v>
      </c>
      <c r="B129" s="62">
        <v>289</v>
      </c>
      <c r="C129" s="62" t="s">
        <v>1782</v>
      </c>
      <c r="D129" s="59" t="s">
        <v>1783</v>
      </c>
      <c r="E129" s="59" t="s">
        <v>1784</v>
      </c>
      <c r="F129" s="62" t="s">
        <v>1763</v>
      </c>
      <c r="I129" s="59">
        <v>289</v>
      </c>
      <c r="J129" s="62">
        <v>289</v>
      </c>
      <c r="K129" s="62" t="s">
        <v>2195</v>
      </c>
      <c r="L129" s="62" t="s">
        <v>1270</v>
      </c>
      <c r="M129" s="62" t="s">
        <v>1888</v>
      </c>
      <c r="N129" s="62"/>
      <c r="O129" s="62" t="s">
        <v>1884</v>
      </c>
      <c r="P129" s="62" t="b">
        <f>List129[[#This Row],[Income2018]]=List129[[#This Row],[Income]]</f>
        <v>0</v>
      </c>
      <c r="Q129" s="62" t="s">
        <v>2196</v>
      </c>
      <c r="R129" s="62" t="s">
        <v>240</v>
      </c>
      <c r="S129" s="62"/>
      <c r="T129" s="62" t="s">
        <v>1886</v>
      </c>
      <c r="U129" s="62" t="s">
        <v>240</v>
      </c>
      <c r="V129" s="62" t="s">
        <v>240</v>
      </c>
      <c r="W129" s="60" t="s">
        <v>240</v>
      </c>
      <c r="X129" s="60" t="s">
        <v>240</v>
      </c>
      <c r="Y129" s="60" t="s">
        <v>240</v>
      </c>
      <c r="Z129" s="61">
        <f>IF(OR(List129[[#This Row],[Fragile 2018]]=1,List129[[#This Row],[Income]]="LDC"),1,"")</f>
        <v>1</v>
      </c>
      <c r="AA129" s="62" t="s">
        <v>240</v>
      </c>
      <c r="AB129" s="62" t="s">
        <v>1886</v>
      </c>
      <c r="AC129" s="62" t="s">
        <v>240</v>
      </c>
      <c r="AD129" s="59" t="s">
        <v>240</v>
      </c>
      <c r="AE129" s="59" t="s">
        <v>240</v>
      </c>
      <c r="AF129" s="62" t="s">
        <v>1886</v>
      </c>
      <c r="AG129" s="62" t="s">
        <v>240</v>
      </c>
      <c r="AH129" s="62" t="s">
        <v>1886</v>
      </c>
      <c r="AI129" s="62" t="s">
        <v>240</v>
      </c>
      <c r="AJ129" s="62" t="s">
        <v>240</v>
      </c>
      <c r="AK129" s="62" t="s">
        <v>240</v>
      </c>
      <c r="AL129" s="62" t="s">
        <v>240</v>
      </c>
      <c r="AM129" s="62">
        <v>178</v>
      </c>
      <c r="AN129" s="59" t="s">
        <v>1782</v>
      </c>
    </row>
    <row r="130" spans="1:40" x14ac:dyDescent="0.2">
      <c r="A130" s="62">
        <v>932</v>
      </c>
      <c r="B130" s="62">
        <v>289</v>
      </c>
      <c r="C130" s="62" t="s">
        <v>2212</v>
      </c>
      <c r="D130" s="59" t="s">
        <v>2213</v>
      </c>
      <c r="E130" s="59" t="s">
        <v>2214</v>
      </c>
      <c r="F130" s="62" t="s">
        <v>2215</v>
      </c>
      <c r="I130" s="59">
        <v>289</v>
      </c>
      <c r="J130" s="62">
        <v>289</v>
      </c>
      <c r="K130" s="62" t="s">
        <v>2195</v>
      </c>
      <c r="L130" s="62" t="s">
        <v>1270</v>
      </c>
      <c r="M130" s="59" t="s">
        <v>1891</v>
      </c>
      <c r="O130" s="59" t="s">
        <v>1884</v>
      </c>
      <c r="P130" s="59" t="b">
        <f>List129[[#This Row],[Income2018]]=List129[[#This Row],[Income]]</f>
        <v>0</v>
      </c>
      <c r="Q130" s="59" t="s">
        <v>2196</v>
      </c>
      <c r="R130" s="62" t="s">
        <v>240</v>
      </c>
      <c r="S130" s="62"/>
      <c r="T130" s="62" t="s">
        <v>1886</v>
      </c>
      <c r="U130" s="62" t="s">
        <v>240</v>
      </c>
      <c r="V130" s="62" t="s">
        <v>240</v>
      </c>
      <c r="W130" s="60" t="s">
        <v>240</v>
      </c>
      <c r="X130" s="60" t="s">
        <v>240</v>
      </c>
      <c r="Y130" s="60" t="s">
        <v>240</v>
      </c>
      <c r="Z130" s="61" t="str">
        <f>IF(OR(List129[[#This Row],[Fragile 2018]]=1,List129[[#This Row],[Income]]="LDC"),1,"")</f>
        <v/>
      </c>
      <c r="AA130" s="62" t="s">
        <v>240</v>
      </c>
      <c r="AB130" s="62" t="s">
        <v>1886</v>
      </c>
      <c r="AC130" s="62" t="s">
        <v>240</v>
      </c>
      <c r="AD130" s="59" t="s">
        <v>240</v>
      </c>
      <c r="AE130" s="59" t="s">
        <v>240</v>
      </c>
      <c r="AF130" s="62" t="s">
        <v>1886</v>
      </c>
      <c r="AG130" s="62" t="s">
        <v>240</v>
      </c>
      <c r="AH130" s="62" t="s">
        <v>1886</v>
      </c>
      <c r="AI130" s="62" t="s">
        <v>240</v>
      </c>
      <c r="AJ130" s="62" t="s">
        <v>240</v>
      </c>
      <c r="AK130" s="62" t="s">
        <v>240</v>
      </c>
      <c r="AL130" s="62" t="s">
        <v>240</v>
      </c>
      <c r="AM130" s="62">
        <v>176</v>
      </c>
      <c r="AN130" s="59" t="s">
        <v>2212</v>
      </c>
    </row>
    <row r="131" spans="1:40" x14ac:dyDescent="0.2">
      <c r="A131" s="59">
        <v>909</v>
      </c>
      <c r="B131" s="59">
        <v>88</v>
      </c>
      <c r="C131" s="59" t="s">
        <v>2216</v>
      </c>
      <c r="D131" s="59" t="s">
        <v>2217</v>
      </c>
      <c r="E131" s="59" t="s">
        <v>2218</v>
      </c>
      <c r="F131" s="59" t="s">
        <v>2219</v>
      </c>
      <c r="I131" s="59">
        <v>89</v>
      </c>
      <c r="J131" s="59">
        <v>88</v>
      </c>
      <c r="K131" s="59" t="s">
        <v>2220</v>
      </c>
      <c r="L131" s="59" t="s">
        <v>1259</v>
      </c>
      <c r="M131" s="59" t="s">
        <v>1892</v>
      </c>
      <c r="O131" s="59" t="s">
        <v>1884</v>
      </c>
      <c r="P131" s="59" t="b">
        <f>List129[[#This Row],[Income2018]]=List129[[#This Row],[Income]]</f>
        <v>0</v>
      </c>
      <c r="Q131" s="59" t="s">
        <v>2221</v>
      </c>
      <c r="R131" s="59" t="s">
        <v>240</v>
      </c>
      <c r="T131" s="59" t="s">
        <v>240</v>
      </c>
      <c r="U131" s="59" t="s">
        <v>240</v>
      </c>
      <c r="V131" s="59" t="s">
        <v>240</v>
      </c>
      <c r="W131" s="60" t="s">
        <v>240</v>
      </c>
      <c r="X131" s="60" t="s">
        <v>240</v>
      </c>
      <c r="Y131" s="60" t="s">
        <v>240</v>
      </c>
      <c r="Z131" s="61" t="str">
        <f>IF(OR(List129[[#This Row],[Fragile 2018]]=1,List129[[#This Row],[Income]]="LDC"),1,"")</f>
        <v/>
      </c>
      <c r="AA131" s="59" t="s">
        <v>240</v>
      </c>
      <c r="AB131" s="59" t="s">
        <v>1886</v>
      </c>
      <c r="AC131" s="59" t="s">
        <v>240</v>
      </c>
      <c r="AD131" s="59" t="s">
        <v>240</v>
      </c>
      <c r="AE131" s="59" t="s">
        <v>240</v>
      </c>
      <c r="AF131" s="59" t="s">
        <v>240</v>
      </c>
      <c r="AG131" s="59" t="s">
        <v>240</v>
      </c>
      <c r="AH131" s="59" t="s">
        <v>240</v>
      </c>
      <c r="AI131" s="59" t="s">
        <v>240</v>
      </c>
      <c r="AJ131" s="59" t="s">
        <v>240</v>
      </c>
      <c r="AK131" s="59" t="s">
        <v>240</v>
      </c>
      <c r="AL131" s="59" t="s">
        <v>1886</v>
      </c>
      <c r="AM131" s="59">
        <v>111</v>
      </c>
      <c r="AN131" s="59" t="s">
        <v>2216</v>
      </c>
    </row>
    <row r="132" spans="1:40" x14ac:dyDescent="0.2">
      <c r="A132" s="62">
        <v>934</v>
      </c>
      <c r="B132" s="62">
        <v>289</v>
      </c>
      <c r="C132" s="62" t="s">
        <v>1787</v>
      </c>
      <c r="D132" s="59" t="s">
        <v>1788</v>
      </c>
      <c r="E132" s="59" t="s">
        <v>1789</v>
      </c>
      <c r="F132" s="62" t="s">
        <v>1763</v>
      </c>
      <c r="I132" s="59">
        <v>289</v>
      </c>
      <c r="J132" s="62">
        <v>289</v>
      </c>
      <c r="K132" s="62" t="s">
        <v>2195</v>
      </c>
      <c r="L132" s="62" t="s">
        <v>1270</v>
      </c>
      <c r="M132" s="62" t="s">
        <v>1888</v>
      </c>
      <c r="N132" s="62"/>
      <c r="O132" s="62" t="s">
        <v>1884</v>
      </c>
      <c r="P132" s="62" t="b">
        <f>List129[[#This Row],[Income2018]]=List129[[#This Row],[Income]]</f>
        <v>0</v>
      </c>
      <c r="Q132" s="62" t="s">
        <v>2196</v>
      </c>
      <c r="R132" s="62" t="s">
        <v>240</v>
      </c>
      <c r="S132" s="62"/>
      <c r="T132" s="62" t="s">
        <v>1886</v>
      </c>
      <c r="U132" s="62" t="s">
        <v>240</v>
      </c>
      <c r="V132" s="62" t="s">
        <v>240</v>
      </c>
      <c r="W132" s="60" t="s">
        <v>240</v>
      </c>
      <c r="X132" s="60" t="s">
        <v>240</v>
      </c>
      <c r="Y132" s="60" t="s">
        <v>240</v>
      </c>
      <c r="Z132" s="61">
        <f>IF(OR(List129[[#This Row],[Fragile 2018]]=1,List129[[#This Row],[Income]]="LDC"),1,"")</f>
        <v>1</v>
      </c>
      <c r="AA132" s="62" t="s">
        <v>240</v>
      </c>
      <c r="AB132" s="62" t="s">
        <v>1886</v>
      </c>
      <c r="AC132" s="62" t="s">
        <v>240</v>
      </c>
      <c r="AD132" s="59" t="s">
        <v>1925</v>
      </c>
      <c r="AE132" s="59" t="s">
        <v>240</v>
      </c>
      <c r="AF132" s="62" t="s">
        <v>1886</v>
      </c>
      <c r="AG132" s="62" t="s">
        <v>240</v>
      </c>
      <c r="AH132" s="62" t="s">
        <v>1886</v>
      </c>
      <c r="AI132" s="62" t="s">
        <v>240</v>
      </c>
      <c r="AJ132" s="62" t="s">
        <v>240</v>
      </c>
      <c r="AK132" s="62" t="s">
        <v>240</v>
      </c>
      <c r="AL132" s="62" t="s">
        <v>240</v>
      </c>
      <c r="AM132" s="62">
        <v>180</v>
      </c>
      <c r="AN132" s="59" t="s">
        <v>1787</v>
      </c>
    </row>
    <row r="133" spans="1:40" x14ac:dyDescent="0.2">
      <c r="A133" s="59">
        <v>927</v>
      </c>
      <c r="B133" s="59">
        <v>689</v>
      </c>
      <c r="C133" s="59" t="s">
        <v>1827</v>
      </c>
      <c r="D133" s="59" t="s">
        <v>1828</v>
      </c>
      <c r="E133" s="59" t="s">
        <v>1829</v>
      </c>
      <c r="F133" s="59" t="s">
        <v>1815</v>
      </c>
      <c r="I133" s="59">
        <v>798</v>
      </c>
      <c r="J133" s="59">
        <v>689</v>
      </c>
      <c r="K133" s="59" t="s">
        <v>2222</v>
      </c>
      <c r="L133" s="59" t="s">
        <v>1253</v>
      </c>
      <c r="M133" s="59" t="s">
        <v>1891</v>
      </c>
      <c r="O133" s="59" t="s">
        <v>1884</v>
      </c>
      <c r="P133" s="59" t="b">
        <f>List129[[#This Row],[Income2018]]=List129[[#This Row],[Income]]</f>
        <v>0</v>
      </c>
      <c r="Q133" s="59" t="s">
        <v>2223</v>
      </c>
      <c r="R133" s="59" t="s">
        <v>240</v>
      </c>
      <c r="T133" s="59" t="s">
        <v>240</v>
      </c>
      <c r="U133" s="59" t="s">
        <v>240</v>
      </c>
      <c r="V133" s="59" t="s">
        <v>240</v>
      </c>
      <c r="W133" s="60" t="s">
        <v>240</v>
      </c>
      <c r="X133" s="60" t="s">
        <v>240</v>
      </c>
      <c r="Y133" s="60" t="s">
        <v>240</v>
      </c>
      <c r="Z133" s="61" t="str">
        <f>IF(OR(List129[[#This Row],[Fragile 2018]]=1,List129[[#This Row],[Income]]="LDC"),1,"")</f>
        <v/>
      </c>
      <c r="AA133" s="59" t="s">
        <v>240</v>
      </c>
      <c r="AB133" s="59" t="s">
        <v>1886</v>
      </c>
      <c r="AC133" s="59" t="s">
        <v>240</v>
      </c>
      <c r="AD133" s="59" t="s">
        <v>240</v>
      </c>
      <c r="AE133" s="59" t="s">
        <v>240</v>
      </c>
      <c r="AF133" s="59" t="s">
        <v>240</v>
      </c>
      <c r="AG133" s="59" t="s">
        <v>240</v>
      </c>
      <c r="AH133" s="59" t="s">
        <v>240</v>
      </c>
      <c r="AI133" s="59" t="s">
        <v>240</v>
      </c>
      <c r="AJ133" s="59" t="s">
        <v>1886</v>
      </c>
      <c r="AK133" s="59" t="s">
        <v>240</v>
      </c>
      <c r="AL133" s="59" t="s">
        <v>240</v>
      </c>
      <c r="AM133" s="59">
        <v>259</v>
      </c>
      <c r="AN133" s="59" t="s">
        <v>1827</v>
      </c>
    </row>
    <row r="134" spans="1:40" x14ac:dyDescent="0.2">
      <c r="A134" s="62">
        <v>937</v>
      </c>
      <c r="B134" s="62">
        <v>289</v>
      </c>
      <c r="C134" s="62" t="s">
        <v>1792</v>
      </c>
      <c r="D134" s="59" t="s">
        <v>1793</v>
      </c>
      <c r="E134" s="59" t="s">
        <v>1794</v>
      </c>
      <c r="F134" s="62" t="s">
        <v>1763</v>
      </c>
      <c r="I134" s="59">
        <v>289</v>
      </c>
      <c r="J134" s="62">
        <v>289</v>
      </c>
      <c r="K134" s="62" t="s">
        <v>2195</v>
      </c>
      <c r="L134" s="62" t="s">
        <v>1270</v>
      </c>
      <c r="M134" s="59" t="s">
        <v>1891</v>
      </c>
      <c r="O134" s="59" t="s">
        <v>1884</v>
      </c>
      <c r="P134" s="59" t="b">
        <f>List129[[#This Row],[Income2018]]=List129[[#This Row],[Income]]</f>
        <v>0</v>
      </c>
      <c r="Q134" s="59" t="s">
        <v>2196</v>
      </c>
      <c r="R134" s="62" t="s">
        <v>240</v>
      </c>
      <c r="S134" s="62"/>
      <c r="T134" s="62" t="s">
        <v>1886</v>
      </c>
      <c r="U134" s="62" t="s">
        <v>240</v>
      </c>
      <c r="V134" s="62" t="s">
        <v>240</v>
      </c>
      <c r="W134" s="60" t="s">
        <v>240</v>
      </c>
      <c r="X134" s="60" t="s">
        <v>240</v>
      </c>
      <c r="Y134" s="60" t="s">
        <v>240</v>
      </c>
      <c r="Z134" s="61" t="str">
        <f>IF(OR(List129[[#This Row],[Fragile 2018]]=1,List129[[#This Row],[Income]]="LDC"),1,"")</f>
        <v/>
      </c>
      <c r="AA134" s="62" t="s">
        <v>240</v>
      </c>
      <c r="AB134" s="62" t="s">
        <v>1886</v>
      </c>
      <c r="AC134" s="62" t="s">
        <v>240</v>
      </c>
      <c r="AD134" s="59" t="s">
        <v>240</v>
      </c>
      <c r="AE134" s="59" t="s">
        <v>240</v>
      </c>
      <c r="AF134" s="62" t="s">
        <v>1886</v>
      </c>
      <c r="AG134" s="62" t="s">
        <v>240</v>
      </c>
      <c r="AH134" s="62" t="s">
        <v>1886</v>
      </c>
      <c r="AI134" s="62" t="s">
        <v>240</v>
      </c>
      <c r="AJ134" s="62" t="s">
        <v>240</v>
      </c>
      <c r="AK134" s="62" t="s">
        <v>240</v>
      </c>
      <c r="AL134" s="62" t="s">
        <v>240</v>
      </c>
      <c r="AM134" s="62">
        <v>179</v>
      </c>
      <c r="AN134" s="59" t="s">
        <v>1792</v>
      </c>
    </row>
    <row r="135" spans="1:40" x14ac:dyDescent="0.2">
      <c r="A135" s="59">
        <v>958</v>
      </c>
      <c r="B135" s="59">
        <v>489</v>
      </c>
      <c r="C135" s="59" t="s">
        <v>1807</v>
      </c>
      <c r="D135" s="59" t="s">
        <v>1808</v>
      </c>
      <c r="E135" s="59" t="s">
        <v>1809</v>
      </c>
      <c r="F135" s="59" t="s">
        <v>1800</v>
      </c>
      <c r="I135" s="59">
        <v>498</v>
      </c>
      <c r="J135" s="59">
        <v>489</v>
      </c>
      <c r="K135" s="59" t="s">
        <v>2224</v>
      </c>
      <c r="L135" s="59" t="s">
        <v>1276</v>
      </c>
      <c r="M135" s="59" t="s">
        <v>1891</v>
      </c>
      <c r="O135" s="59" t="s">
        <v>1884</v>
      </c>
      <c r="P135" s="59" t="b">
        <f>List129[[#This Row],[Income2018]]=List129[[#This Row],[Income]]</f>
        <v>0</v>
      </c>
      <c r="Q135" s="59" t="s">
        <v>2225</v>
      </c>
      <c r="R135" s="59" t="s">
        <v>240</v>
      </c>
      <c r="T135" s="59" t="s">
        <v>240</v>
      </c>
      <c r="U135" s="59" t="s">
        <v>240</v>
      </c>
      <c r="V135" s="59" t="s">
        <v>240</v>
      </c>
      <c r="W135" s="60" t="s">
        <v>240</v>
      </c>
      <c r="X135" s="60" t="s">
        <v>240</v>
      </c>
      <c r="Y135" s="60" t="s">
        <v>240</v>
      </c>
      <c r="Z135" s="61" t="str">
        <f>IF(OR(List129[[#This Row],[Fragile 2018]]=1,List129[[#This Row],[Income]]="LDC"),1,"")</f>
        <v/>
      </c>
      <c r="AA135" s="59" t="s">
        <v>240</v>
      </c>
      <c r="AB135" s="59" t="s">
        <v>1886</v>
      </c>
      <c r="AC135" s="59" t="s">
        <v>240</v>
      </c>
      <c r="AD135" s="59" t="s">
        <v>240</v>
      </c>
      <c r="AE135" s="59" t="s">
        <v>240</v>
      </c>
      <c r="AF135" s="59" t="s">
        <v>240</v>
      </c>
      <c r="AG135" s="59" t="s">
        <v>240</v>
      </c>
      <c r="AH135" s="59" t="s">
        <v>240</v>
      </c>
      <c r="AI135" s="59" t="s">
        <v>1886</v>
      </c>
      <c r="AJ135" s="59" t="s">
        <v>240</v>
      </c>
      <c r="AK135" s="59" t="s">
        <v>240</v>
      </c>
      <c r="AL135" s="59" t="s">
        <v>240</v>
      </c>
      <c r="AM135" s="59">
        <v>221</v>
      </c>
      <c r="AN135" s="59" t="s">
        <v>1807</v>
      </c>
    </row>
    <row r="136" spans="1:40" x14ac:dyDescent="0.2">
      <c r="A136" s="59">
        <v>924</v>
      </c>
      <c r="B136" s="59">
        <v>679</v>
      </c>
      <c r="C136" s="59" t="s">
        <v>1832</v>
      </c>
      <c r="D136" s="59" t="s">
        <v>1833</v>
      </c>
      <c r="E136" s="59" t="s">
        <v>1834</v>
      </c>
      <c r="F136" s="59" t="s">
        <v>1815</v>
      </c>
      <c r="I136" s="59">
        <v>798</v>
      </c>
      <c r="J136" s="59">
        <v>679</v>
      </c>
      <c r="K136" s="59" t="s">
        <v>2226</v>
      </c>
      <c r="L136" s="59" t="s">
        <v>1253</v>
      </c>
      <c r="M136" s="59" t="s">
        <v>1891</v>
      </c>
      <c r="O136" s="59" t="s">
        <v>1884</v>
      </c>
      <c r="P136" s="59" t="b">
        <f>List129[[#This Row],[Income2018]]=List129[[#This Row],[Income]]</f>
        <v>0</v>
      </c>
      <c r="Q136" s="59" t="s">
        <v>2227</v>
      </c>
      <c r="R136" s="59" t="s">
        <v>240</v>
      </c>
      <c r="T136" s="59" t="s">
        <v>240</v>
      </c>
      <c r="U136" s="59" t="s">
        <v>240</v>
      </c>
      <c r="V136" s="59" t="s">
        <v>240</v>
      </c>
      <c r="W136" s="60" t="s">
        <v>240</v>
      </c>
      <c r="X136" s="60" t="s">
        <v>240</v>
      </c>
      <c r="Y136" s="60" t="s">
        <v>240</v>
      </c>
      <c r="Z136" s="61" t="str">
        <f>IF(OR(List129[[#This Row],[Fragile 2018]]=1,List129[[#This Row],[Income]]="LDC"),1,"")</f>
        <v/>
      </c>
      <c r="AA136" s="59" t="s">
        <v>240</v>
      </c>
      <c r="AB136" s="59" t="s">
        <v>1886</v>
      </c>
      <c r="AC136" s="59" t="s">
        <v>240</v>
      </c>
      <c r="AD136" s="59" t="s">
        <v>240</v>
      </c>
      <c r="AE136" s="59" t="s">
        <v>240</v>
      </c>
      <c r="AF136" s="59" t="s">
        <v>240</v>
      </c>
      <c r="AG136" s="59" t="s">
        <v>240</v>
      </c>
      <c r="AH136" s="59" t="s">
        <v>240</v>
      </c>
      <c r="AI136" s="59" t="s">
        <v>240</v>
      </c>
      <c r="AJ136" s="59" t="s">
        <v>1886</v>
      </c>
      <c r="AK136" s="59" t="s">
        <v>240</v>
      </c>
      <c r="AL136" s="59" t="s">
        <v>240</v>
      </c>
      <c r="AM136" s="59">
        <v>258</v>
      </c>
      <c r="AN136" s="59" t="s">
        <v>1832</v>
      </c>
    </row>
    <row r="137" spans="1:40" x14ac:dyDescent="0.2">
      <c r="A137" s="59">
        <v>306</v>
      </c>
      <c r="B137" s="59">
        <v>235</v>
      </c>
      <c r="C137" s="59" t="s">
        <v>1383</v>
      </c>
      <c r="D137" s="59" t="s">
        <v>1384</v>
      </c>
      <c r="E137" s="59" t="s">
        <v>880</v>
      </c>
      <c r="F137" s="59" t="s">
        <v>1385</v>
      </c>
      <c r="G137" s="59" t="s">
        <v>2228</v>
      </c>
      <c r="H137" s="59" t="s">
        <v>1383</v>
      </c>
      <c r="I137" s="59">
        <v>289</v>
      </c>
      <c r="J137" s="59">
        <v>235</v>
      </c>
      <c r="K137" s="59" t="s">
        <v>2229</v>
      </c>
      <c r="L137" s="59" t="s">
        <v>1270</v>
      </c>
      <c r="M137" s="59" t="s">
        <v>1888</v>
      </c>
      <c r="N137" s="59" t="s">
        <v>1888</v>
      </c>
      <c r="O137" s="59" t="s">
        <v>1888</v>
      </c>
      <c r="P137" s="59" t="b">
        <f>List129[[#This Row],[Income2018]]=List129[[#This Row],[Income]]</f>
        <v>1</v>
      </c>
      <c r="Q137" s="59" t="s">
        <v>2230</v>
      </c>
      <c r="R137" s="59" t="s">
        <v>1886</v>
      </c>
      <c r="S137" s="59" t="s">
        <v>1385</v>
      </c>
      <c r="T137" s="59" t="s">
        <v>1886</v>
      </c>
      <c r="U137" s="59" t="s">
        <v>240</v>
      </c>
      <c r="V137" s="59" t="s">
        <v>240</v>
      </c>
      <c r="W137" s="60" t="s">
        <v>1886</v>
      </c>
      <c r="X137" s="60" t="s">
        <v>1886</v>
      </c>
      <c r="Y137" s="60">
        <v>1</v>
      </c>
      <c r="Z137" s="61">
        <f>IF(OR(List129[[#This Row],[Fragile 2018]]=1,List129[[#This Row],[Income]]="LDC"),1,"")</f>
        <v>1</v>
      </c>
      <c r="AA137" s="59" t="s">
        <v>1886</v>
      </c>
      <c r="AB137" s="59" t="s">
        <v>1886</v>
      </c>
      <c r="AC137" s="59" t="s">
        <v>1886</v>
      </c>
      <c r="AD137" s="59" t="s">
        <v>240</v>
      </c>
      <c r="AE137" s="59" t="s">
        <v>240</v>
      </c>
      <c r="AF137" s="59" t="s">
        <v>1886</v>
      </c>
      <c r="AG137" s="59" t="s">
        <v>240</v>
      </c>
      <c r="AH137" s="59" t="s">
        <v>1886</v>
      </c>
      <c r="AI137" s="59" t="s">
        <v>240</v>
      </c>
      <c r="AJ137" s="59" t="s">
        <v>240</v>
      </c>
      <c r="AK137" s="59" t="s">
        <v>240</v>
      </c>
      <c r="AL137" s="59" t="s">
        <v>240</v>
      </c>
      <c r="AM137" s="59">
        <v>135</v>
      </c>
      <c r="AN137" s="59" t="s">
        <v>1383</v>
      </c>
    </row>
    <row r="138" spans="1:40" x14ac:dyDescent="0.2">
      <c r="A138" s="59">
        <v>431</v>
      </c>
      <c r="B138" s="59">
        <v>382</v>
      </c>
      <c r="C138" s="59" t="s">
        <v>1628</v>
      </c>
      <c r="D138" s="59" t="s">
        <v>1629</v>
      </c>
      <c r="E138" s="59" t="s">
        <v>1627</v>
      </c>
      <c r="F138" s="59" t="s">
        <v>1630</v>
      </c>
      <c r="G138" s="59" t="s">
        <v>2231</v>
      </c>
      <c r="I138" s="59">
        <v>498</v>
      </c>
      <c r="J138" s="59">
        <v>382</v>
      </c>
      <c r="K138" s="59" t="s">
        <v>2232</v>
      </c>
      <c r="L138" s="59" t="s">
        <v>1276</v>
      </c>
      <c r="M138" s="59" t="s">
        <v>1892</v>
      </c>
      <c r="O138" s="59" t="s">
        <v>1901</v>
      </c>
      <c r="P138" s="59" t="b">
        <f>List129[[#This Row],[Income2018]]=List129[[#This Row],[Income]]</f>
        <v>0</v>
      </c>
      <c r="Q138" s="59" t="s">
        <v>2233</v>
      </c>
      <c r="R138" s="59" t="s">
        <v>240</v>
      </c>
      <c r="T138" s="59" t="s">
        <v>240</v>
      </c>
      <c r="U138" s="59" t="s">
        <v>1886</v>
      </c>
      <c r="V138" s="59" t="s">
        <v>240</v>
      </c>
      <c r="W138" s="60" t="s">
        <v>240</v>
      </c>
      <c r="X138" s="60" t="s">
        <v>240</v>
      </c>
      <c r="Y138" s="60" t="s">
        <v>240</v>
      </c>
      <c r="Z138" s="61" t="str">
        <f>IF(OR(List129[[#This Row],[Fragile 2018]]=1,List129[[#This Row],[Income]]="LDC"),1,"")</f>
        <v/>
      </c>
      <c r="AA138" s="59" t="s">
        <v>1886</v>
      </c>
      <c r="AB138" s="59" t="s">
        <v>1886</v>
      </c>
      <c r="AC138" s="59" t="s">
        <v>240</v>
      </c>
      <c r="AD138" s="59" t="s">
        <v>240</v>
      </c>
      <c r="AE138" s="59" t="s">
        <v>240</v>
      </c>
      <c r="AF138" s="59" t="s">
        <v>240</v>
      </c>
      <c r="AG138" s="59" t="s">
        <v>240</v>
      </c>
      <c r="AH138" s="59" t="s">
        <v>240</v>
      </c>
      <c r="AI138" s="59" t="s">
        <v>1886</v>
      </c>
      <c r="AJ138" s="59" t="s">
        <v>240</v>
      </c>
      <c r="AK138" s="59" t="s">
        <v>240</v>
      </c>
      <c r="AL138" s="59" t="s">
        <v>240</v>
      </c>
      <c r="AM138" s="59">
        <v>200</v>
      </c>
      <c r="AN138" s="59" t="s">
        <v>1628</v>
      </c>
    </row>
    <row r="139" spans="1:40" x14ac:dyDescent="0.2">
      <c r="A139" s="59">
        <v>429</v>
      </c>
      <c r="B139" s="59">
        <v>384</v>
      </c>
      <c r="C139" s="59" t="s">
        <v>1632</v>
      </c>
      <c r="D139" s="59" t="s">
        <v>1632</v>
      </c>
      <c r="E139" s="59" t="s">
        <v>1631</v>
      </c>
      <c r="F139" s="59" t="s">
        <v>1633</v>
      </c>
      <c r="G139" s="59" t="s">
        <v>2234</v>
      </c>
      <c r="I139" s="59">
        <v>498</v>
      </c>
      <c r="J139" s="59">
        <v>384</v>
      </c>
      <c r="K139" s="59" t="s">
        <v>2235</v>
      </c>
      <c r="L139" s="59" t="s">
        <v>1276</v>
      </c>
      <c r="M139" s="59" t="s">
        <v>1892</v>
      </c>
      <c r="N139" s="59" t="s">
        <v>1892</v>
      </c>
      <c r="O139" s="59" t="s">
        <v>1892</v>
      </c>
      <c r="P139" s="59" t="b">
        <f>List129[[#This Row],[Income2018]]=List129[[#This Row],[Income]]</f>
        <v>1</v>
      </c>
      <c r="Q139" s="59" t="s">
        <v>2236</v>
      </c>
      <c r="R139" s="59" t="s">
        <v>240</v>
      </c>
      <c r="T139" s="59" t="s">
        <v>240</v>
      </c>
      <c r="U139" s="59" t="s">
        <v>1886</v>
      </c>
      <c r="V139" s="59" t="s">
        <v>240</v>
      </c>
      <c r="W139" s="60" t="s">
        <v>240</v>
      </c>
      <c r="X139" s="60" t="s">
        <v>240</v>
      </c>
      <c r="Y139" s="60" t="s">
        <v>240</v>
      </c>
      <c r="Z139" s="61" t="str">
        <f>IF(OR(List129[[#This Row],[Fragile 2018]]=1,List129[[#This Row],[Income]]="LDC"),1,"")</f>
        <v/>
      </c>
      <c r="AA139" s="59" t="s">
        <v>1886</v>
      </c>
      <c r="AB139" s="59" t="s">
        <v>1886</v>
      </c>
      <c r="AC139" s="59" t="s">
        <v>240</v>
      </c>
      <c r="AD139" s="59" t="s">
        <v>240</v>
      </c>
      <c r="AE139" s="59" t="s">
        <v>240</v>
      </c>
      <c r="AF139" s="59" t="s">
        <v>240</v>
      </c>
      <c r="AG139" s="59" t="s">
        <v>240</v>
      </c>
      <c r="AH139" s="59" t="s">
        <v>240</v>
      </c>
      <c r="AI139" s="59" t="s">
        <v>1886</v>
      </c>
      <c r="AJ139" s="59" t="s">
        <v>240</v>
      </c>
      <c r="AK139" s="59" t="s">
        <v>240</v>
      </c>
      <c r="AL139" s="59" t="s">
        <v>240</v>
      </c>
      <c r="AM139" s="59">
        <v>202</v>
      </c>
      <c r="AN139" s="59" t="s">
        <v>1632</v>
      </c>
    </row>
    <row r="140" spans="1:40" x14ac:dyDescent="0.2">
      <c r="A140" s="59">
        <v>623</v>
      </c>
      <c r="B140" s="59">
        <v>866</v>
      </c>
      <c r="C140" s="59" t="s">
        <v>1635</v>
      </c>
      <c r="D140" s="59" t="s">
        <v>1636</v>
      </c>
      <c r="E140" s="59" t="s">
        <v>1634</v>
      </c>
      <c r="F140" s="59" t="s">
        <v>1637</v>
      </c>
      <c r="G140" s="59" t="s">
        <v>2237</v>
      </c>
      <c r="I140" s="59">
        <v>889</v>
      </c>
      <c r="J140" s="59">
        <v>866</v>
      </c>
      <c r="K140" s="59" t="s">
        <v>2238</v>
      </c>
      <c r="L140" s="59" t="s">
        <v>1394</v>
      </c>
      <c r="M140" s="59" t="s">
        <v>1888</v>
      </c>
      <c r="N140" s="59" t="s">
        <v>1888</v>
      </c>
      <c r="O140" s="59" t="s">
        <v>1888</v>
      </c>
      <c r="P140" s="59" t="b">
        <f>List129[[#This Row],[Income2018]]=List129[[#This Row],[Income]]</f>
        <v>1</v>
      </c>
      <c r="Q140" s="59" t="s">
        <v>2239</v>
      </c>
      <c r="R140" s="59" t="s">
        <v>240</v>
      </c>
      <c r="T140" s="59" t="s">
        <v>1886</v>
      </c>
      <c r="U140" s="59" t="s">
        <v>1886</v>
      </c>
      <c r="V140" s="59" t="s">
        <v>240</v>
      </c>
      <c r="W140" s="60" t="s">
        <v>1886</v>
      </c>
      <c r="X140" s="60" t="s">
        <v>1886</v>
      </c>
      <c r="Y140" s="60">
        <v>1</v>
      </c>
      <c r="Z140" s="61">
        <f>IF(OR(List129[[#This Row],[Fragile 2018]]=1,List129[[#This Row],[Income]]="LDC"),1,"")</f>
        <v>1</v>
      </c>
      <c r="AA140" s="59" t="s">
        <v>1886</v>
      </c>
      <c r="AB140" s="59" t="s">
        <v>1886</v>
      </c>
      <c r="AC140" s="59" t="s">
        <v>240</v>
      </c>
      <c r="AD140" s="59" t="s">
        <v>240</v>
      </c>
      <c r="AE140" s="59" t="s">
        <v>240</v>
      </c>
      <c r="AF140" s="59" t="s">
        <v>240</v>
      </c>
      <c r="AG140" s="59" t="s">
        <v>240</v>
      </c>
      <c r="AH140" s="59" t="s">
        <v>240</v>
      </c>
      <c r="AI140" s="59" t="s">
        <v>240</v>
      </c>
      <c r="AJ140" s="59" t="s">
        <v>240</v>
      </c>
      <c r="AK140" s="59" t="s">
        <v>1886</v>
      </c>
      <c r="AL140" s="59" t="s">
        <v>240</v>
      </c>
      <c r="AM140" s="59">
        <v>289</v>
      </c>
      <c r="AN140" s="59" t="s">
        <v>1635</v>
      </c>
    </row>
    <row r="141" spans="1:40" x14ac:dyDescent="0.2">
      <c r="A141" s="59">
        <v>346</v>
      </c>
      <c r="B141" s="59">
        <v>268</v>
      </c>
      <c r="C141" s="59" t="s">
        <v>1639</v>
      </c>
      <c r="D141" s="59" t="s">
        <v>1640</v>
      </c>
      <c r="E141" s="59" t="s">
        <v>1638</v>
      </c>
      <c r="F141" s="59" t="s">
        <v>1641</v>
      </c>
      <c r="G141" s="59" t="s">
        <v>2240</v>
      </c>
      <c r="I141" s="59">
        <v>289</v>
      </c>
      <c r="J141" s="59">
        <v>268</v>
      </c>
      <c r="K141" s="59" t="s">
        <v>2241</v>
      </c>
      <c r="L141" s="59" t="s">
        <v>1270</v>
      </c>
      <c r="M141" s="59" t="s">
        <v>1888</v>
      </c>
      <c r="N141" s="59" t="s">
        <v>1888</v>
      </c>
      <c r="O141" s="59" t="s">
        <v>1888</v>
      </c>
      <c r="P141" s="59" t="b">
        <f>List129[[#This Row],[Income2018]]=List129[[#This Row],[Income]]</f>
        <v>1</v>
      </c>
      <c r="Q141" s="59" t="s">
        <v>2242</v>
      </c>
      <c r="R141" s="59" t="s">
        <v>240</v>
      </c>
      <c r="T141" s="59" t="s">
        <v>1886</v>
      </c>
      <c r="U141" s="59" t="s">
        <v>1886</v>
      </c>
      <c r="V141" s="59" t="s">
        <v>240</v>
      </c>
      <c r="W141" s="60" t="s">
        <v>240</v>
      </c>
      <c r="X141" s="60" t="s">
        <v>240</v>
      </c>
      <c r="Y141" s="60" t="s">
        <v>240</v>
      </c>
      <c r="Z141" s="61">
        <f>IF(OR(List129[[#This Row],[Fragile 2018]]=1,List129[[#This Row],[Income]]="LDC"),1,"")</f>
        <v>1</v>
      </c>
      <c r="AA141" s="59" t="s">
        <v>1886</v>
      </c>
      <c r="AB141" s="59" t="s">
        <v>1886</v>
      </c>
      <c r="AC141" s="59" t="s">
        <v>1886</v>
      </c>
      <c r="AD141" s="59" t="s">
        <v>240</v>
      </c>
      <c r="AE141" s="59" t="s">
        <v>240</v>
      </c>
      <c r="AF141" s="59" t="s">
        <v>1886</v>
      </c>
      <c r="AG141" s="59" t="s">
        <v>240</v>
      </c>
      <c r="AH141" s="59" t="s">
        <v>1886</v>
      </c>
      <c r="AI141" s="59" t="s">
        <v>240</v>
      </c>
      <c r="AJ141" s="59" t="s">
        <v>240</v>
      </c>
      <c r="AK141" s="59" t="s">
        <v>240</v>
      </c>
      <c r="AL141" s="59" t="s">
        <v>240</v>
      </c>
      <c r="AM141" s="59">
        <v>162</v>
      </c>
      <c r="AN141" s="59" t="s">
        <v>1639</v>
      </c>
    </row>
    <row r="142" spans="1:40" x14ac:dyDescent="0.2">
      <c r="A142" s="59">
        <v>327</v>
      </c>
      <c r="B142" s="59">
        <v>266</v>
      </c>
      <c r="C142" s="59" t="s">
        <v>1356</v>
      </c>
      <c r="D142" s="59" t="s">
        <v>1356</v>
      </c>
      <c r="E142" s="59" t="s">
        <v>1356</v>
      </c>
      <c r="F142" s="59" t="s">
        <v>1626</v>
      </c>
      <c r="G142" s="59" t="s">
        <v>2243</v>
      </c>
      <c r="H142" s="59" t="s">
        <v>1356</v>
      </c>
      <c r="I142" s="59">
        <v>289</v>
      </c>
      <c r="J142" s="59">
        <v>266</v>
      </c>
      <c r="K142" s="59" t="s">
        <v>1626</v>
      </c>
      <c r="L142" s="59" t="s">
        <v>1270</v>
      </c>
      <c r="M142" s="59" t="s">
        <v>1888</v>
      </c>
      <c r="N142" s="59" t="s">
        <v>1888</v>
      </c>
      <c r="O142" s="59" t="s">
        <v>1888</v>
      </c>
      <c r="P142" s="59" t="b">
        <f>List129[[#This Row],[Income2018]]=List129[[#This Row],[Income]]</f>
        <v>1</v>
      </c>
      <c r="Q142" s="59" t="s">
        <v>2244</v>
      </c>
      <c r="R142" s="59" t="s">
        <v>1886</v>
      </c>
      <c r="S142" s="59" t="s">
        <v>1626</v>
      </c>
      <c r="T142" s="59" t="s">
        <v>1886</v>
      </c>
      <c r="U142" s="59" t="s">
        <v>240</v>
      </c>
      <c r="V142" s="59" t="s">
        <v>1886</v>
      </c>
      <c r="W142" s="60" t="s">
        <v>1886</v>
      </c>
      <c r="X142" s="60" t="s">
        <v>1886</v>
      </c>
      <c r="Y142" s="60">
        <v>1</v>
      </c>
      <c r="Z142" s="61">
        <f>IF(OR(List129[[#This Row],[Fragile 2018]]=1,List129[[#This Row],[Income]]="LDC"),1,"")</f>
        <v>1</v>
      </c>
      <c r="AA142" s="59" t="s">
        <v>1886</v>
      </c>
      <c r="AB142" s="59" t="s">
        <v>1886</v>
      </c>
      <c r="AC142" s="59" t="s">
        <v>1886</v>
      </c>
      <c r="AD142" s="59" t="s">
        <v>240</v>
      </c>
      <c r="AE142" s="59" t="s">
        <v>240</v>
      </c>
      <c r="AF142" s="59" t="s">
        <v>1886</v>
      </c>
      <c r="AG142" s="59" t="s">
        <v>240</v>
      </c>
      <c r="AH142" s="59" t="s">
        <v>1886</v>
      </c>
      <c r="AI142" s="59" t="s">
        <v>240</v>
      </c>
      <c r="AJ142" s="59" t="s">
        <v>240</v>
      </c>
      <c r="AK142" s="59" t="s">
        <v>240</v>
      </c>
      <c r="AL142" s="59" t="s">
        <v>240</v>
      </c>
      <c r="AM142" s="59">
        <v>160</v>
      </c>
      <c r="AN142" s="59" t="s">
        <v>1356</v>
      </c>
    </row>
    <row r="143" spans="1:40" x14ac:dyDescent="0.2">
      <c r="A143" s="59">
        <v>152</v>
      </c>
      <c r="B143" s="59">
        <v>63</v>
      </c>
      <c r="C143" s="59" t="s">
        <v>1645</v>
      </c>
      <c r="D143" s="59" t="s">
        <v>1646</v>
      </c>
      <c r="E143" s="59" t="s">
        <v>1644</v>
      </c>
      <c r="F143" s="59" t="s">
        <v>1647</v>
      </c>
      <c r="G143" s="59" t="s">
        <v>2245</v>
      </c>
      <c r="I143" s="59">
        <v>89</v>
      </c>
      <c r="J143" s="59">
        <v>63</v>
      </c>
      <c r="K143" s="59" t="s">
        <v>1647</v>
      </c>
      <c r="L143" s="59" t="s">
        <v>1259</v>
      </c>
      <c r="M143" s="59" t="s">
        <v>1892</v>
      </c>
      <c r="N143" s="59" t="s">
        <v>1892</v>
      </c>
      <c r="O143" s="59" t="s">
        <v>1892</v>
      </c>
      <c r="P143" s="59" t="b">
        <f>List129[[#This Row],[Income2018]]=List129[[#This Row],[Income]]</f>
        <v>1</v>
      </c>
      <c r="Q143" s="59" t="s">
        <v>2246</v>
      </c>
      <c r="R143" s="59" t="s">
        <v>240</v>
      </c>
      <c r="T143" s="59" t="s">
        <v>240</v>
      </c>
      <c r="U143" s="59" t="s">
        <v>240</v>
      </c>
      <c r="V143" s="59" t="s">
        <v>240</v>
      </c>
      <c r="W143" s="60" t="s">
        <v>240</v>
      </c>
      <c r="X143" s="60" t="s">
        <v>240</v>
      </c>
      <c r="Y143" s="60" t="s">
        <v>240</v>
      </c>
      <c r="Z143" s="61" t="str">
        <f>IF(OR(List129[[#This Row],[Fragile 2018]]=1,List129[[#This Row],[Income]]="LDC"),1,"")</f>
        <v/>
      </c>
      <c r="AA143" s="59" t="s">
        <v>240</v>
      </c>
      <c r="AB143" s="59" t="s">
        <v>1886</v>
      </c>
      <c r="AC143" s="59" t="s">
        <v>240</v>
      </c>
      <c r="AD143" s="59" t="s">
        <v>240</v>
      </c>
      <c r="AE143" s="59" t="s">
        <v>240</v>
      </c>
      <c r="AF143" s="59" t="s">
        <v>240</v>
      </c>
      <c r="AG143" s="59" t="s">
        <v>240</v>
      </c>
      <c r="AH143" s="59" t="s">
        <v>240</v>
      </c>
      <c r="AI143" s="59" t="s">
        <v>240</v>
      </c>
      <c r="AJ143" s="59" t="s">
        <v>240</v>
      </c>
      <c r="AK143" s="59" t="s">
        <v>240</v>
      </c>
      <c r="AL143" s="59" t="s">
        <v>1886</v>
      </c>
      <c r="AM143" s="59">
        <v>108</v>
      </c>
      <c r="AN143" s="59" t="s">
        <v>1645</v>
      </c>
    </row>
    <row r="144" spans="1:40" x14ac:dyDescent="0.2">
      <c r="A144" s="59">
        <v>342</v>
      </c>
      <c r="B144" s="59">
        <v>270</v>
      </c>
      <c r="C144" s="59" t="s">
        <v>1649</v>
      </c>
      <c r="D144" s="59" t="s">
        <v>1648</v>
      </c>
      <c r="E144" s="59" t="s">
        <v>1648</v>
      </c>
      <c r="F144" s="59" t="s">
        <v>1650</v>
      </c>
      <c r="G144" s="59" t="s">
        <v>2247</v>
      </c>
      <c r="I144" s="59">
        <v>289</v>
      </c>
      <c r="J144" s="59">
        <v>270</v>
      </c>
      <c r="K144" s="59" t="s">
        <v>2248</v>
      </c>
      <c r="L144" s="59" t="s">
        <v>1270</v>
      </c>
      <c r="M144" s="59" t="s">
        <v>1892</v>
      </c>
      <c r="O144" s="59" t="s">
        <v>1901</v>
      </c>
      <c r="P144" s="59" t="b">
        <f>List129[[#This Row],[Income2018]]=List129[[#This Row],[Income]]</f>
        <v>0</v>
      </c>
      <c r="Q144" s="59" t="s">
        <v>2249</v>
      </c>
      <c r="R144" s="59" t="s">
        <v>240</v>
      </c>
      <c r="T144" s="59" t="s">
        <v>240</v>
      </c>
      <c r="U144" s="59" t="s">
        <v>1886</v>
      </c>
      <c r="V144" s="59" t="s">
        <v>240</v>
      </c>
      <c r="W144" s="60" t="s">
        <v>240</v>
      </c>
      <c r="X144" s="60" t="s">
        <v>240</v>
      </c>
      <c r="Y144" s="60" t="s">
        <v>240</v>
      </c>
      <c r="Z144" s="61" t="str">
        <f>IF(OR(List129[[#This Row],[Fragile 2018]]=1,List129[[#This Row],[Income]]="LDC"),1,"")</f>
        <v/>
      </c>
      <c r="AA144" s="59" t="s">
        <v>1886</v>
      </c>
      <c r="AB144" s="59" t="s">
        <v>1886</v>
      </c>
      <c r="AC144" s="59" t="s">
        <v>240</v>
      </c>
      <c r="AD144" s="59" t="s">
        <v>240</v>
      </c>
      <c r="AE144" s="59" t="s">
        <v>240</v>
      </c>
      <c r="AF144" s="59" t="s">
        <v>1886</v>
      </c>
      <c r="AG144" s="59" t="s">
        <v>240</v>
      </c>
      <c r="AH144" s="59" t="s">
        <v>1886</v>
      </c>
      <c r="AI144" s="59" t="s">
        <v>240</v>
      </c>
      <c r="AJ144" s="59" t="s">
        <v>240</v>
      </c>
      <c r="AK144" s="59" t="s">
        <v>240</v>
      </c>
      <c r="AL144" s="59" t="s">
        <v>240</v>
      </c>
      <c r="AM144" s="59">
        <v>164</v>
      </c>
      <c r="AN144" s="59" t="s">
        <v>1649</v>
      </c>
    </row>
    <row r="145" spans="1:40" x14ac:dyDescent="0.2">
      <c r="A145" s="59">
        <v>328</v>
      </c>
      <c r="B145" s="59">
        <v>272</v>
      </c>
      <c r="C145" s="59" t="s">
        <v>1651</v>
      </c>
      <c r="D145" s="59" t="s">
        <v>1652</v>
      </c>
      <c r="E145" s="59" t="s">
        <v>1651</v>
      </c>
      <c r="F145" s="59" t="s">
        <v>1653</v>
      </c>
      <c r="G145" s="59" t="s">
        <v>2250</v>
      </c>
      <c r="I145" s="59">
        <v>289</v>
      </c>
      <c r="J145" s="59">
        <v>272</v>
      </c>
      <c r="K145" s="59" t="s">
        <v>2251</v>
      </c>
      <c r="L145" s="59" t="s">
        <v>1270</v>
      </c>
      <c r="M145" s="59" t="s">
        <v>1888</v>
      </c>
      <c r="N145" s="59" t="s">
        <v>1888</v>
      </c>
      <c r="O145" s="59" t="s">
        <v>1888</v>
      </c>
      <c r="P145" s="59" t="b">
        <f>List129[[#This Row],[Income2018]]=List129[[#This Row],[Income]]</f>
        <v>1</v>
      </c>
      <c r="Q145" s="59" t="s">
        <v>2252</v>
      </c>
      <c r="R145" s="59" t="s">
        <v>240</v>
      </c>
      <c r="T145" s="59" t="s">
        <v>1886</v>
      </c>
      <c r="U145" s="59" t="s">
        <v>240</v>
      </c>
      <c r="V145" s="59" t="s">
        <v>240</v>
      </c>
      <c r="W145" s="60" t="s">
        <v>1886</v>
      </c>
      <c r="X145" s="60" t="s">
        <v>1886</v>
      </c>
      <c r="Y145" s="60">
        <v>1</v>
      </c>
      <c r="Z145" s="61">
        <f>IF(OR(List129[[#This Row],[Fragile 2018]]=1,List129[[#This Row],[Income]]="LDC"),1,"")</f>
        <v>1</v>
      </c>
      <c r="AA145" s="59" t="s">
        <v>1886</v>
      </c>
      <c r="AB145" s="59" t="s">
        <v>1886</v>
      </c>
      <c r="AC145" s="59" t="s">
        <v>1886</v>
      </c>
      <c r="AD145" s="59" t="s">
        <v>1925</v>
      </c>
      <c r="AE145" s="59" t="s">
        <v>240</v>
      </c>
      <c r="AF145" s="59" t="s">
        <v>1886</v>
      </c>
      <c r="AG145" s="59" t="s">
        <v>240</v>
      </c>
      <c r="AH145" s="59" t="s">
        <v>1886</v>
      </c>
      <c r="AI145" s="59" t="s">
        <v>240</v>
      </c>
      <c r="AJ145" s="59" t="s">
        <v>240</v>
      </c>
      <c r="AK145" s="59" t="s">
        <v>240</v>
      </c>
      <c r="AL145" s="59" t="s">
        <v>240</v>
      </c>
      <c r="AM145" s="59">
        <v>165</v>
      </c>
      <c r="AN145" s="59" t="s">
        <v>1651</v>
      </c>
    </row>
    <row r="146" spans="1:40" x14ac:dyDescent="0.2">
      <c r="A146" s="59">
        <v>356</v>
      </c>
      <c r="B146" s="59">
        <v>278</v>
      </c>
      <c r="C146" s="59" t="s">
        <v>1669</v>
      </c>
      <c r="D146" s="59" t="s">
        <v>1670</v>
      </c>
      <c r="E146" s="59" t="s">
        <v>1668</v>
      </c>
      <c r="F146" s="59" t="s">
        <v>1671</v>
      </c>
      <c r="G146" s="59" t="s">
        <v>41</v>
      </c>
      <c r="I146" s="59">
        <v>289</v>
      </c>
      <c r="J146" s="59">
        <v>278</v>
      </c>
      <c r="K146" s="59" t="s">
        <v>2253</v>
      </c>
      <c r="L146" s="59" t="s">
        <v>1270</v>
      </c>
      <c r="M146" s="59" t="s">
        <v>1888</v>
      </c>
      <c r="N146" s="59" t="s">
        <v>1888</v>
      </c>
      <c r="O146" s="59" t="s">
        <v>1888</v>
      </c>
      <c r="P146" s="59" t="b">
        <f>List129[[#This Row],[Income2018]]=List129[[#This Row],[Income]]</f>
        <v>1</v>
      </c>
      <c r="Q146" s="59" t="s">
        <v>2254</v>
      </c>
      <c r="R146" s="59" t="s">
        <v>240</v>
      </c>
      <c r="T146" s="59" t="s">
        <v>1886</v>
      </c>
      <c r="U146" s="59" t="s">
        <v>240</v>
      </c>
      <c r="V146" s="59" t="s">
        <v>240</v>
      </c>
      <c r="W146" s="60" t="s">
        <v>1886</v>
      </c>
      <c r="X146" s="60" t="s">
        <v>1886</v>
      </c>
      <c r="Y146" s="60">
        <v>1</v>
      </c>
      <c r="Z146" s="61">
        <f>IF(OR(List129[[#This Row],[Fragile 2018]]=1,List129[[#This Row],[Income]]="LDC"),1,"")</f>
        <v>1</v>
      </c>
      <c r="AA146" s="59" t="s">
        <v>1886</v>
      </c>
      <c r="AB146" s="59" t="s">
        <v>1886</v>
      </c>
      <c r="AC146" s="59" t="s">
        <v>1886</v>
      </c>
      <c r="AD146" s="59" t="s">
        <v>240</v>
      </c>
      <c r="AE146" s="59" t="s">
        <v>240</v>
      </c>
      <c r="AF146" s="59" t="s">
        <v>1886</v>
      </c>
      <c r="AG146" s="59" t="s">
        <v>240</v>
      </c>
      <c r="AH146" s="59" t="s">
        <v>1886</v>
      </c>
      <c r="AI146" s="59" t="s">
        <v>240</v>
      </c>
      <c r="AJ146" s="59" t="s">
        <v>240</v>
      </c>
      <c r="AK146" s="59" t="s">
        <v>240</v>
      </c>
      <c r="AL146" s="59" t="s">
        <v>240</v>
      </c>
      <c r="AM146" s="59">
        <v>168</v>
      </c>
      <c r="AN146" s="59" t="s">
        <v>1669</v>
      </c>
    </row>
    <row r="147" spans="1:40" x14ac:dyDescent="0.2">
      <c r="A147" s="59">
        <v>329</v>
      </c>
      <c r="B147" s="59">
        <v>273</v>
      </c>
      <c r="C147" s="59" t="s">
        <v>1655</v>
      </c>
      <c r="D147" s="59" t="s">
        <v>1655</v>
      </c>
      <c r="E147" s="59" t="s">
        <v>1654</v>
      </c>
      <c r="F147" s="59" t="s">
        <v>1656</v>
      </c>
      <c r="G147" s="59" t="s">
        <v>2255</v>
      </c>
      <c r="I147" s="59">
        <v>289</v>
      </c>
      <c r="J147" s="59">
        <v>273</v>
      </c>
      <c r="K147" s="59" t="s">
        <v>1656</v>
      </c>
      <c r="L147" s="59" t="s">
        <v>1270</v>
      </c>
      <c r="M147" s="59" t="s">
        <v>1888</v>
      </c>
      <c r="N147" s="59" t="s">
        <v>1888</v>
      </c>
      <c r="O147" s="59" t="s">
        <v>1888</v>
      </c>
      <c r="P147" s="59" t="b">
        <f>List129[[#This Row],[Income2018]]=List129[[#This Row],[Income]]</f>
        <v>1</v>
      </c>
      <c r="Q147" s="59" t="s">
        <v>2256</v>
      </c>
      <c r="R147" s="59" t="s">
        <v>240</v>
      </c>
      <c r="T147" s="59" t="s">
        <v>1886</v>
      </c>
      <c r="U147" s="59" t="s">
        <v>240</v>
      </c>
      <c r="V147" s="59" t="s">
        <v>240</v>
      </c>
      <c r="W147" s="60" t="s">
        <v>1886</v>
      </c>
      <c r="X147" s="60" t="s">
        <v>1886</v>
      </c>
      <c r="Y147" s="60">
        <v>1</v>
      </c>
      <c r="Z147" s="61">
        <f>IF(OR(List129[[#This Row],[Fragile 2018]]=1,List129[[#This Row],[Income]]="LDC"),1,"")</f>
        <v>1</v>
      </c>
      <c r="AA147" s="59" t="s">
        <v>1886</v>
      </c>
      <c r="AB147" s="59" t="s">
        <v>1886</v>
      </c>
      <c r="AC147" s="59" t="s">
        <v>1886</v>
      </c>
      <c r="AD147" s="59" t="s">
        <v>240</v>
      </c>
      <c r="AE147" s="59" t="s">
        <v>240</v>
      </c>
      <c r="AF147" s="59" t="s">
        <v>1886</v>
      </c>
      <c r="AG147" s="59" t="s">
        <v>240</v>
      </c>
      <c r="AH147" s="59" t="s">
        <v>1886</v>
      </c>
      <c r="AI147" s="59" t="s">
        <v>240</v>
      </c>
      <c r="AJ147" s="59" t="s">
        <v>240</v>
      </c>
      <c r="AK147" s="59" t="s">
        <v>240</v>
      </c>
      <c r="AL147" s="59" t="s">
        <v>240</v>
      </c>
      <c r="AM147" s="59">
        <v>166</v>
      </c>
      <c r="AN147" s="59" t="s">
        <v>1655</v>
      </c>
    </row>
    <row r="148" spans="1:40" x14ac:dyDescent="0.2">
      <c r="A148" s="59">
        <v>203</v>
      </c>
      <c r="B148" s="59">
        <v>640</v>
      </c>
      <c r="C148" s="59" t="s">
        <v>1657</v>
      </c>
      <c r="D148" s="59" t="s">
        <v>1657</v>
      </c>
      <c r="E148" s="59" t="s">
        <v>1657</v>
      </c>
      <c r="F148" s="59" t="s">
        <v>1658</v>
      </c>
      <c r="G148" s="59" t="s">
        <v>2257</v>
      </c>
      <c r="I148" s="59">
        <v>798</v>
      </c>
      <c r="J148" s="59">
        <v>640</v>
      </c>
      <c r="K148" s="59" t="s">
        <v>2258</v>
      </c>
      <c r="L148" s="59" t="s">
        <v>1253</v>
      </c>
      <c r="M148" s="59" t="s">
        <v>1891</v>
      </c>
      <c r="N148" s="59" t="s">
        <v>1891</v>
      </c>
      <c r="O148" s="59" t="s">
        <v>1891</v>
      </c>
      <c r="P148" s="59" t="b">
        <f>List129[[#This Row],[Income2018]]=List129[[#This Row],[Income]]</f>
        <v>1</v>
      </c>
      <c r="Q148" s="59" t="s">
        <v>2259</v>
      </c>
      <c r="R148" s="59" t="s">
        <v>240</v>
      </c>
      <c r="T148" s="59" t="s">
        <v>240</v>
      </c>
      <c r="U148" s="59" t="s">
        <v>240</v>
      </c>
      <c r="V148" s="59" t="s">
        <v>240</v>
      </c>
      <c r="W148" s="60" t="s">
        <v>1886</v>
      </c>
      <c r="X148" s="60" t="s">
        <v>1886</v>
      </c>
      <c r="Y148" s="60" t="s">
        <v>240</v>
      </c>
      <c r="Z148" s="61" t="str">
        <f>IF(OR(List129[[#This Row],[Fragile 2018]]=1,List129[[#This Row],[Income]]="LDC"),1,"")</f>
        <v/>
      </c>
      <c r="AA148" s="59" t="s">
        <v>240</v>
      </c>
      <c r="AB148" s="59" t="s">
        <v>1886</v>
      </c>
      <c r="AC148" s="59" t="s">
        <v>240</v>
      </c>
      <c r="AD148" s="59" t="s">
        <v>240</v>
      </c>
      <c r="AE148" s="59" t="s">
        <v>240</v>
      </c>
      <c r="AF148" s="59" t="s">
        <v>240</v>
      </c>
      <c r="AG148" s="59" t="s">
        <v>240</v>
      </c>
      <c r="AH148" s="59" t="s">
        <v>240</v>
      </c>
      <c r="AI148" s="59" t="s">
        <v>240</v>
      </c>
      <c r="AJ148" s="59" t="s">
        <v>1886</v>
      </c>
      <c r="AK148" s="59" t="s">
        <v>240</v>
      </c>
      <c r="AL148" s="59" t="s">
        <v>240</v>
      </c>
      <c r="AM148" s="59">
        <v>253</v>
      </c>
      <c r="AN148" s="59" t="s">
        <v>1657</v>
      </c>
    </row>
    <row r="149" spans="1:40" x14ac:dyDescent="0.2">
      <c r="A149" s="59">
        <v>389</v>
      </c>
      <c r="B149" s="59">
        <v>276</v>
      </c>
      <c r="C149" s="59" t="s">
        <v>1660</v>
      </c>
      <c r="D149" s="59" t="s">
        <v>1661</v>
      </c>
      <c r="E149" s="59" t="s">
        <v>1659</v>
      </c>
      <c r="F149" s="59" t="s">
        <v>1662</v>
      </c>
      <c r="G149" s="59" t="s">
        <v>2260</v>
      </c>
      <c r="I149" s="59">
        <v>289</v>
      </c>
      <c r="J149" s="59">
        <v>276</v>
      </c>
      <c r="K149" s="59" t="s">
        <v>2261</v>
      </c>
      <c r="L149" s="59" t="s">
        <v>1270</v>
      </c>
      <c r="M149" s="59" t="s">
        <v>1892</v>
      </c>
      <c r="N149" s="59" t="s">
        <v>1892</v>
      </c>
      <c r="O149" s="59" t="s">
        <v>1892</v>
      </c>
      <c r="P149" s="59" t="b">
        <f>List129[[#This Row],[Income2018]]=List129[[#This Row],[Income]]</f>
        <v>1</v>
      </c>
      <c r="Q149" s="59" t="s">
        <v>2262</v>
      </c>
      <c r="R149" s="59" t="s">
        <v>240</v>
      </c>
      <c r="T149" s="59" t="s">
        <v>240</v>
      </c>
      <c r="U149" s="59" t="s">
        <v>240</v>
      </c>
      <c r="V149" s="59" t="s">
        <v>240</v>
      </c>
      <c r="W149" s="60" t="s">
        <v>240</v>
      </c>
      <c r="X149" s="60" t="s">
        <v>240</v>
      </c>
      <c r="Y149" s="60" t="s">
        <v>240</v>
      </c>
      <c r="Z149" s="61" t="str">
        <f>IF(OR(List129[[#This Row],[Fragile 2018]]=1,List129[[#This Row],[Income]]="LDC"),1,"")</f>
        <v/>
      </c>
      <c r="AA149" s="59" t="s">
        <v>240</v>
      </c>
      <c r="AB149" s="59" t="s">
        <v>1886</v>
      </c>
      <c r="AC149" s="59" t="s">
        <v>240</v>
      </c>
      <c r="AD149" s="59" t="s">
        <v>240</v>
      </c>
      <c r="AE149" s="59" t="s">
        <v>240</v>
      </c>
      <c r="AF149" s="59" t="s">
        <v>1886</v>
      </c>
      <c r="AG149" s="59" t="s">
        <v>240</v>
      </c>
      <c r="AH149" s="59" t="s">
        <v>1886</v>
      </c>
      <c r="AI149" s="59" t="s">
        <v>240</v>
      </c>
      <c r="AJ149" s="59" t="s">
        <v>240</v>
      </c>
      <c r="AK149" s="59" t="s">
        <v>240</v>
      </c>
      <c r="AL149" s="59" t="s">
        <v>240</v>
      </c>
      <c r="AM149" s="59">
        <v>161</v>
      </c>
      <c r="AN149" s="59" t="s">
        <v>1660</v>
      </c>
    </row>
    <row r="150" spans="1:40" x14ac:dyDescent="0.2">
      <c r="A150" s="59">
        <v>428</v>
      </c>
      <c r="B150" s="59">
        <v>383</v>
      </c>
      <c r="C150" s="59" t="s">
        <v>1664</v>
      </c>
      <c r="D150" s="59" t="s">
        <v>1665</v>
      </c>
      <c r="E150" s="59" t="s">
        <v>1666</v>
      </c>
      <c r="F150" s="59" t="s">
        <v>1667</v>
      </c>
      <c r="G150" s="59" t="s">
        <v>1100</v>
      </c>
      <c r="I150" s="59">
        <v>498</v>
      </c>
      <c r="J150" s="59">
        <v>383</v>
      </c>
      <c r="K150" s="59" t="s">
        <v>2263</v>
      </c>
      <c r="L150" s="59" t="s">
        <v>1276</v>
      </c>
      <c r="M150" s="59" t="s">
        <v>1892</v>
      </c>
      <c r="N150" s="59" t="s">
        <v>1892</v>
      </c>
      <c r="O150" s="59" t="s">
        <v>1892</v>
      </c>
      <c r="P150" s="59" t="b">
        <f>List129[[#This Row],[Income2018]]=List129[[#This Row],[Income]]</f>
        <v>1</v>
      </c>
      <c r="Q150" s="59" t="s">
        <v>1666</v>
      </c>
      <c r="R150" s="59" t="s">
        <v>240</v>
      </c>
      <c r="T150" s="59" t="s">
        <v>240</v>
      </c>
      <c r="U150" s="59" t="s">
        <v>1886</v>
      </c>
      <c r="V150" s="59" t="s">
        <v>240</v>
      </c>
      <c r="W150" s="60" t="s">
        <v>240</v>
      </c>
      <c r="X150" s="60" t="s">
        <v>240</v>
      </c>
      <c r="Y150" s="60" t="s">
        <v>240</v>
      </c>
      <c r="Z150" s="61" t="str">
        <f>IF(OR(List129[[#This Row],[Fragile 2018]]=1,List129[[#This Row],[Income]]="LDC"),1,"")</f>
        <v/>
      </c>
      <c r="AA150" s="59" t="s">
        <v>1886</v>
      </c>
      <c r="AB150" s="59" t="s">
        <v>1886</v>
      </c>
      <c r="AC150" s="59" t="s">
        <v>240</v>
      </c>
      <c r="AD150" s="59" t="s">
        <v>240</v>
      </c>
      <c r="AE150" s="59" t="s">
        <v>240</v>
      </c>
      <c r="AF150" s="59" t="s">
        <v>240</v>
      </c>
      <c r="AG150" s="59" t="s">
        <v>240</v>
      </c>
      <c r="AH150" s="59" t="s">
        <v>240</v>
      </c>
      <c r="AI150" s="59" t="s">
        <v>1886</v>
      </c>
      <c r="AJ150" s="59" t="s">
        <v>240</v>
      </c>
      <c r="AK150" s="59" t="s">
        <v>240</v>
      </c>
      <c r="AL150" s="59" t="s">
        <v>240</v>
      </c>
      <c r="AM150" s="59">
        <v>201</v>
      </c>
      <c r="AN150" s="59" t="s">
        <v>1664</v>
      </c>
    </row>
    <row r="151" spans="1:40" x14ac:dyDescent="0.2">
      <c r="A151" s="59">
        <v>522</v>
      </c>
      <c r="B151" s="59">
        <v>457</v>
      </c>
      <c r="C151" s="59" t="s">
        <v>1673</v>
      </c>
      <c r="D151" s="59" t="s">
        <v>1672</v>
      </c>
      <c r="E151" s="59" t="s">
        <v>1672</v>
      </c>
      <c r="F151" s="59" t="s">
        <v>1674</v>
      </c>
      <c r="G151" s="59" t="s">
        <v>2264</v>
      </c>
      <c r="H151" s="59" t="s">
        <v>1673</v>
      </c>
      <c r="I151" s="59">
        <v>498</v>
      </c>
      <c r="J151" s="59">
        <v>457</v>
      </c>
      <c r="K151" s="59" t="s">
        <v>1674</v>
      </c>
      <c r="L151" s="59" t="s">
        <v>1276</v>
      </c>
      <c r="M151" s="59" t="s">
        <v>1892</v>
      </c>
      <c r="N151" s="59" t="s">
        <v>1892</v>
      </c>
      <c r="O151" s="59" t="s">
        <v>1892</v>
      </c>
      <c r="P151" s="59" t="b">
        <f>List129[[#This Row],[Income2018]]=List129[[#This Row],[Income]]</f>
        <v>1</v>
      </c>
      <c r="Q151" s="59" t="s">
        <v>2265</v>
      </c>
      <c r="R151" s="59" t="s">
        <v>240</v>
      </c>
      <c r="T151" s="59" t="s">
        <v>240</v>
      </c>
      <c r="U151" s="59" t="s">
        <v>1886</v>
      </c>
      <c r="V151" s="59" t="s">
        <v>240</v>
      </c>
      <c r="W151" s="60" t="s">
        <v>240</v>
      </c>
      <c r="X151" s="60" t="s">
        <v>240</v>
      </c>
      <c r="Y151" s="60" t="s">
        <v>240</v>
      </c>
      <c r="Z151" s="61" t="str">
        <f>IF(OR(List129[[#This Row],[Fragile 2018]]=1,List129[[#This Row],[Income]]="LDC"),1,"")</f>
        <v/>
      </c>
      <c r="AA151" s="59" t="s">
        <v>1886</v>
      </c>
      <c r="AB151" s="59" t="s">
        <v>1886</v>
      </c>
      <c r="AC151" s="59" t="s">
        <v>240</v>
      </c>
      <c r="AD151" s="59" t="s">
        <v>240</v>
      </c>
      <c r="AE151" s="59" t="s">
        <v>240</v>
      </c>
      <c r="AF151" s="59" t="s">
        <v>240</v>
      </c>
      <c r="AG151" s="59" t="s">
        <v>240</v>
      </c>
      <c r="AH151" s="59" t="s">
        <v>240</v>
      </c>
      <c r="AI151" s="59" t="s">
        <v>1886</v>
      </c>
      <c r="AJ151" s="59" t="s">
        <v>240</v>
      </c>
      <c r="AK151" s="59" t="s">
        <v>240</v>
      </c>
      <c r="AL151" s="59" t="s">
        <v>240</v>
      </c>
      <c r="AM151" s="59">
        <v>218</v>
      </c>
      <c r="AN151" s="59" t="s">
        <v>1673</v>
      </c>
    </row>
    <row r="152" spans="1:40" x14ac:dyDescent="0.2">
      <c r="A152" s="59">
        <v>331</v>
      </c>
      <c r="B152" s="59">
        <v>280</v>
      </c>
      <c r="C152" s="59" t="s">
        <v>1675</v>
      </c>
      <c r="D152" s="59" t="s">
        <v>1675</v>
      </c>
      <c r="E152" s="59" t="s">
        <v>1675</v>
      </c>
      <c r="F152" s="59" t="s">
        <v>1676</v>
      </c>
      <c r="G152" s="59" t="s">
        <v>2266</v>
      </c>
      <c r="I152" s="59">
        <v>289</v>
      </c>
      <c r="J152" s="59">
        <v>280</v>
      </c>
      <c r="K152" s="59" t="s">
        <v>2267</v>
      </c>
      <c r="L152" s="59" t="s">
        <v>1270</v>
      </c>
      <c r="M152" s="59" t="s">
        <v>1891</v>
      </c>
      <c r="N152" s="59" t="s">
        <v>1891</v>
      </c>
      <c r="O152" s="59" t="s">
        <v>1891</v>
      </c>
      <c r="P152" s="59" t="b">
        <f>List129[[#This Row],[Income2018]]=List129[[#This Row],[Income]]</f>
        <v>1</v>
      </c>
      <c r="Q152" s="59" t="s">
        <v>2268</v>
      </c>
      <c r="R152" s="59" t="s">
        <v>240</v>
      </c>
      <c r="T152" s="59" t="s">
        <v>240</v>
      </c>
      <c r="U152" s="59" t="s">
        <v>240</v>
      </c>
      <c r="V152" s="59" t="s">
        <v>1886</v>
      </c>
      <c r="W152" s="60" t="s">
        <v>240</v>
      </c>
      <c r="X152" s="60" t="s">
        <v>240</v>
      </c>
      <c r="Y152" s="60">
        <v>1</v>
      </c>
      <c r="Z152" s="61">
        <f>IF(OR(List129[[#This Row],[Fragile 2018]]=1,List129[[#This Row],[Income]]="LDC"),1,"")</f>
        <v>1</v>
      </c>
      <c r="AA152" s="59" t="s">
        <v>1886</v>
      </c>
      <c r="AB152" s="59" t="s">
        <v>1886</v>
      </c>
      <c r="AC152" s="59" t="s">
        <v>240</v>
      </c>
      <c r="AD152" s="59" t="s">
        <v>240</v>
      </c>
      <c r="AE152" s="59" t="s">
        <v>240</v>
      </c>
      <c r="AF152" s="59" t="s">
        <v>1886</v>
      </c>
      <c r="AG152" s="59" t="s">
        <v>240</v>
      </c>
      <c r="AH152" s="59" t="s">
        <v>1886</v>
      </c>
      <c r="AI152" s="59" t="s">
        <v>240</v>
      </c>
      <c r="AJ152" s="59" t="s">
        <v>240</v>
      </c>
      <c r="AK152" s="59" t="s">
        <v>240</v>
      </c>
      <c r="AL152" s="59" t="s">
        <v>240</v>
      </c>
      <c r="AM152" s="59">
        <v>169</v>
      </c>
      <c r="AN152" s="59" t="s">
        <v>1675</v>
      </c>
    </row>
    <row r="153" spans="1:40" x14ac:dyDescent="0.2">
      <c r="A153" s="59">
        <v>261</v>
      </c>
      <c r="B153" s="59">
        <v>573</v>
      </c>
      <c r="C153" s="59" t="s">
        <v>1678</v>
      </c>
      <c r="D153" s="59" t="s">
        <v>1678</v>
      </c>
      <c r="E153" s="59" t="s">
        <v>1677</v>
      </c>
      <c r="F153" s="59" t="s">
        <v>1679</v>
      </c>
      <c r="G153" s="59" t="s">
        <v>2269</v>
      </c>
      <c r="I153" s="59">
        <v>798</v>
      </c>
      <c r="J153" s="59">
        <v>573</v>
      </c>
      <c r="K153" s="59" t="s">
        <v>1679</v>
      </c>
      <c r="L153" s="59" t="s">
        <v>1253</v>
      </c>
      <c r="M153" s="59" t="s">
        <v>1891</v>
      </c>
      <c r="N153" s="59" t="s">
        <v>1891</v>
      </c>
      <c r="O153" s="59" t="s">
        <v>1891</v>
      </c>
      <c r="P153" s="59" t="b">
        <f>List129[[#This Row],[Income2018]]=List129[[#This Row],[Income]]</f>
        <v>1</v>
      </c>
      <c r="Q153" s="59" t="s">
        <v>2270</v>
      </c>
      <c r="R153" s="59" t="s">
        <v>240</v>
      </c>
      <c r="T153" s="59" t="s">
        <v>240</v>
      </c>
      <c r="U153" s="59" t="s">
        <v>240</v>
      </c>
      <c r="V153" s="59" t="s">
        <v>240</v>
      </c>
      <c r="W153" s="60" t="s">
        <v>1886</v>
      </c>
      <c r="X153" s="60" t="s">
        <v>1886</v>
      </c>
      <c r="Y153" s="60">
        <v>1</v>
      </c>
      <c r="Z153" s="61">
        <f>IF(OR(List129[[#This Row],[Fragile 2018]]=1,List129[[#This Row],[Income]]="LDC"),1,"")</f>
        <v>1</v>
      </c>
      <c r="AA153" s="59" t="s">
        <v>240</v>
      </c>
      <c r="AB153" s="59" t="s">
        <v>1886</v>
      </c>
      <c r="AC153" s="59" t="s">
        <v>240</v>
      </c>
      <c r="AD153" s="59" t="s">
        <v>240</v>
      </c>
      <c r="AE153" s="59" t="s">
        <v>240</v>
      </c>
      <c r="AF153" s="59" t="s">
        <v>240</v>
      </c>
      <c r="AG153" s="59" t="s">
        <v>240</v>
      </c>
      <c r="AH153" s="59" t="s">
        <v>240</v>
      </c>
      <c r="AI153" s="59" t="s">
        <v>240</v>
      </c>
      <c r="AJ153" s="59" t="s">
        <v>1886</v>
      </c>
      <c r="AK153" s="59" t="s">
        <v>240</v>
      </c>
      <c r="AL153" s="59" t="s">
        <v>240</v>
      </c>
      <c r="AM153" s="59">
        <v>235</v>
      </c>
      <c r="AN153" s="59" t="s">
        <v>1678</v>
      </c>
    </row>
    <row r="154" spans="1:40" x14ac:dyDescent="0.2">
      <c r="A154" s="59">
        <v>275</v>
      </c>
      <c r="B154" s="59">
        <v>615</v>
      </c>
      <c r="C154" s="59" t="s">
        <v>1681</v>
      </c>
      <c r="D154" s="59" t="s">
        <v>1682</v>
      </c>
      <c r="E154" s="59" t="s">
        <v>1680</v>
      </c>
      <c r="F154" s="59" t="s">
        <v>1683</v>
      </c>
      <c r="G154" s="59" t="s">
        <v>2271</v>
      </c>
      <c r="I154" s="59">
        <v>798</v>
      </c>
      <c r="J154" s="59">
        <v>615</v>
      </c>
      <c r="K154" s="59" t="s">
        <v>2272</v>
      </c>
      <c r="L154" s="59" t="s">
        <v>1253</v>
      </c>
      <c r="M154" s="59" t="s">
        <v>1967</v>
      </c>
      <c r="N154" s="59" t="s">
        <v>1891</v>
      </c>
      <c r="O154" s="59" t="s">
        <v>1891</v>
      </c>
      <c r="P154" s="59" t="b">
        <f>List129[[#This Row],[Income2018]]=List129[[#This Row],[Income]]</f>
        <v>0</v>
      </c>
      <c r="Q154" s="59" t="s">
        <v>2273</v>
      </c>
      <c r="R154" s="59" t="s">
        <v>240</v>
      </c>
      <c r="T154" s="59" t="s">
        <v>240</v>
      </c>
      <c r="U154" s="59" t="s">
        <v>240</v>
      </c>
      <c r="V154" s="59" t="s">
        <v>1886</v>
      </c>
      <c r="W154" s="60" t="s">
        <v>240</v>
      </c>
      <c r="X154" s="60" t="s">
        <v>240</v>
      </c>
      <c r="Y154" s="60">
        <v>1</v>
      </c>
      <c r="Z154" s="61">
        <f>IF(OR(List129[[#This Row],[Fragile 2018]]=1,List129[[#This Row],[Income]]="LDC"),1,"")</f>
        <v>1</v>
      </c>
      <c r="AA154" s="59" t="s">
        <v>240</v>
      </c>
      <c r="AB154" s="59" t="s">
        <v>1886</v>
      </c>
      <c r="AC154" s="59" t="s">
        <v>240</v>
      </c>
      <c r="AD154" s="59" t="s">
        <v>240</v>
      </c>
      <c r="AE154" s="59" t="s">
        <v>240</v>
      </c>
      <c r="AF154" s="59" t="s">
        <v>240</v>
      </c>
      <c r="AG154" s="59" t="s">
        <v>240</v>
      </c>
      <c r="AH154" s="59" t="s">
        <v>240</v>
      </c>
      <c r="AI154" s="59" t="s">
        <v>240</v>
      </c>
      <c r="AJ154" s="59" t="s">
        <v>1886</v>
      </c>
      <c r="AK154" s="59" t="s">
        <v>240</v>
      </c>
      <c r="AL154" s="59" t="s">
        <v>240</v>
      </c>
      <c r="AM154" s="59">
        <v>254</v>
      </c>
      <c r="AN154" s="59" t="s">
        <v>1681</v>
      </c>
    </row>
    <row r="155" spans="1:40" x14ac:dyDescent="0.2">
      <c r="A155" s="59">
        <v>320</v>
      </c>
      <c r="B155" s="59">
        <v>269</v>
      </c>
      <c r="C155" s="59" t="s">
        <v>1361</v>
      </c>
      <c r="D155" s="59" t="s">
        <v>1642</v>
      </c>
      <c r="E155" s="59" t="s">
        <v>1361</v>
      </c>
      <c r="F155" s="59" t="s">
        <v>1643</v>
      </c>
      <c r="G155" s="59" t="s">
        <v>2274</v>
      </c>
      <c r="H155" s="59" t="s">
        <v>1361</v>
      </c>
      <c r="I155" s="59">
        <v>289</v>
      </c>
      <c r="J155" s="59">
        <v>269</v>
      </c>
      <c r="K155" s="59" t="s">
        <v>1643</v>
      </c>
      <c r="L155" s="59" t="s">
        <v>1270</v>
      </c>
      <c r="M155" s="59" t="s">
        <v>1888</v>
      </c>
      <c r="N155" s="59" t="s">
        <v>1888</v>
      </c>
      <c r="O155" s="59" t="s">
        <v>1888</v>
      </c>
      <c r="P155" s="59" t="b">
        <f>List129[[#This Row],[Income2018]]=List129[[#This Row],[Income]]</f>
        <v>1</v>
      </c>
      <c r="Q155" s="59" t="s">
        <v>2275</v>
      </c>
      <c r="R155" s="59" t="s">
        <v>1886</v>
      </c>
      <c r="S155" s="59" t="s">
        <v>1643</v>
      </c>
      <c r="T155" s="59" t="s">
        <v>1886</v>
      </c>
      <c r="U155" s="59" t="s">
        <v>240</v>
      </c>
      <c r="V155" s="59" t="s">
        <v>240</v>
      </c>
      <c r="W155" s="60" t="s">
        <v>240</v>
      </c>
      <c r="X155" s="60" t="s">
        <v>240</v>
      </c>
      <c r="Y155" s="60" t="s">
        <v>240</v>
      </c>
      <c r="Z155" s="61">
        <f>IF(OR(List129[[#This Row],[Fragile 2018]]=1,List129[[#This Row],[Income]]="LDC"),1,"")</f>
        <v>1</v>
      </c>
      <c r="AA155" s="59" t="s">
        <v>1886</v>
      </c>
      <c r="AB155" s="59" t="s">
        <v>1886</v>
      </c>
      <c r="AC155" s="59" t="s">
        <v>1886</v>
      </c>
      <c r="AD155" s="59" t="s">
        <v>1925</v>
      </c>
      <c r="AE155" s="59" t="s">
        <v>240</v>
      </c>
      <c r="AF155" s="59" t="s">
        <v>1886</v>
      </c>
      <c r="AG155" s="59" t="s">
        <v>240</v>
      </c>
      <c r="AH155" s="59" t="s">
        <v>1886</v>
      </c>
      <c r="AI155" s="59" t="s">
        <v>240</v>
      </c>
      <c r="AJ155" s="59" t="s">
        <v>240</v>
      </c>
      <c r="AK155" s="59" t="s">
        <v>240</v>
      </c>
      <c r="AL155" s="59" t="s">
        <v>240</v>
      </c>
      <c r="AM155" s="59">
        <v>163</v>
      </c>
      <c r="AN155" s="59" t="s">
        <v>1361</v>
      </c>
    </row>
    <row r="156" spans="1:40" x14ac:dyDescent="0.2">
      <c r="A156" s="59">
        <v>235</v>
      </c>
      <c r="B156" s="59">
        <v>764</v>
      </c>
      <c r="C156" s="59" t="s">
        <v>1686</v>
      </c>
      <c r="D156" s="59" t="s">
        <v>1687</v>
      </c>
      <c r="E156" s="59" t="s">
        <v>1686</v>
      </c>
      <c r="F156" s="59" t="s">
        <v>1688</v>
      </c>
      <c r="G156" s="59" t="s">
        <v>2276</v>
      </c>
      <c r="I156" s="59">
        <v>798</v>
      </c>
      <c r="J156" s="59">
        <v>764</v>
      </c>
      <c r="K156" s="59" t="s">
        <v>1688</v>
      </c>
      <c r="L156" s="59" t="s">
        <v>1253</v>
      </c>
      <c r="M156" s="59" t="s">
        <v>1891</v>
      </c>
      <c r="N156" s="59" t="s">
        <v>1892</v>
      </c>
      <c r="O156" s="59" t="s">
        <v>1892</v>
      </c>
      <c r="P156" s="59" t="b">
        <f>List129[[#This Row],[Income2018]]=List129[[#This Row],[Income]]</f>
        <v>0</v>
      </c>
      <c r="Q156" s="59" t="s">
        <v>2277</v>
      </c>
      <c r="R156" s="59" t="s">
        <v>240</v>
      </c>
      <c r="T156" s="59" t="s">
        <v>240</v>
      </c>
      <c r="U156" s="59" t="s">
        <v>240</v>
      </c>
      <c r="V156" s="59" t="s">
        <v>240</v>
      </c>
      <c r="W156" s="60" t="s">
        <v>240</v>
      </c>
      <c r="X156" s="60" t="s">
        <v>240</v>
      </c>
      <c r="Y156" s="60" t="s">
        <v>240</v>
      </c>
      <c r="Z156" s="61" t="str">
        <f>IF(OR(List129[[#This Row],[Fragile 2018]]=1,List129[[#This Row],[Income]]="LDC"),1,"")</f>
        <v/>
      </c>
      <c r="AA156" s="59" t="s">
        <v>240</v>
      </c>
      <c r="AB156" s="59" t="s">
        <v>1886</v>
      </c>
      <c r="AC156" s="59" t="s">
        <v>240</v>
      </c>
      <c r="AD156" s="59" t="s">
        <v>240</v>
      </c>
      <c r="AE156" s="59" t="s">
        <v>240</v>
      </c>
      <c r="AF156" s="59" t="s">
        <v>240</v>
      </c>
      <c r="AG156" s="59" t="s">
        <v>240</v>
      </c>
      <c r="AH156" s="59" t="s">
        <v>240</v>
      </c>
      <c r="AI156" s="59" t="s">
        <v>240</v>
      </c>
      <c r="AJ156" s="59" t="s">
        <v>1886</v>
      </c>
      <c r="AK156" s="59" t="s">
        <v>240</v>
      </c>
      <c r="AL156" s="59" t="s">
        <v>240</v>
      </c>
      <c r="AM156" s="59">
        <v>270</v>
      </c>
      <c r="AN156" s="59" t="s">
        <v>1686</v>
      </c>
    </row>
    <row r="157" spans="1:40" x14ac:dyDescent="0.2">
      <c r="A157" s="59">
        <v>282</v>
      </c>
      <c r="B157" s="59">
        <v>765</v>
      </c>
      <c r="C157" s="59" t="s">
        <v>1690</v>
      </c>
      <c r="D157" s="59" t="s">
        <v>1690</v>
      </c>
      <c r="E157" s="59" t="s">
        <v>1689</v>
      </c>
      <c r="F157" s="59" t="s">
        <v>1691</v>
      </c>
      <c r="G157" s="59" t="s">
        <v>2278</v>
      </c>
      <c r="I157" s="59">
        <v>798</v>
      </c>
      <c r="J157" s="59">
        <v>765</v>
      </c>
      <c r="K157" s="59" t="s">
        <v>2279</v>
      </c>
      <c r="L157" s="59" t="s">
        <v>1253</v>
      </c>
      <c r="M157" s="59" t="s">
        <v>1888</v>
      </c>
      <c r="N157" s="59" t="s">
        <v>1888</v>
      </c>
      <c r="O157" s="59" t="s">
        <v>1888</v>
      </c>
      <c r="P157" s="59" t="b">
        <f>List129[[#This Row],[Income2018]]=List129[[#This Row],[Income]]</f>
        <v>1</v>
      </c>
      <c r="Q157" s="59" t="s">
        <v>2280</v>
      </c>
      <c r="R157" s="59" t="s">
        <v>240</v>
      </c>
      <c r="T157" s="59" t="s">
        <v>1886</v>
      </c>
      <c r="U157" s="59" t="s">
        <v>1886</v>
      </c>
      <c r="V157" s="59" t="s">
        <v>240</v>
      </c>
      <c r="W157" s="60" t="s">
        <v>1886</v>
      </c>
      <c r="X157" s="60" t="s">
        <v>1886</v>
      </c>
      <c r="Y157" s="60">
        <v>1</v>
      </c>
      <c r="Z157" s="61">
        <f>IF(OR(List129[[#This Row],[Fragile 2018]]=1,List129[[#This Row],[Income]]="LDC"),1,"")</f>
        <v>1</v>
      </c>
      <c r="AA157" s="59" t="s">
        <v>1886</v>
      </c>
      <c r="AB157" s="59" t="s">
        <v>1886</v>
      </c>
      <c r="AC157" s="59" t="s">
        <v>240</v>
      </c>
      <c r="AD157" s="59" t="s">
        <v>240</v>
      </c>
      <c r="AE157" s="59" t="s">
        <v>240</v>
      </c>
      <c r="AF157" s="59" t="s">
        <v>240</v>
      </c>
      <c r="AG157" s="59" t="s">
        <v>240</v>
      </c>
      <c r="AH157" s="59" t="s">
        <v>240</v>
      </c>
      <c r="AI157" s="59" t="s">
        <v>240</v>
      </c>
      <c r="AJ157" s="59" t="s">
        <v>1886</v>
      </c>
      <c r="AK157" s="59" t="s">
        <v>240</v>
      </c>
      <c r="AL157" s="59" t="s">
        <v>240</v>
      </c>
      <c r="AM157" s="59">
        <v>271</v>
      </c>
      <c r="AN157" s="59" t="s">
        <v>1690</v>
      </c>
    </row>
    <row r="158" spans="1:40" x14ac:dyDescent="0.2">
      <c r="A158" s="59">
        <v>334</v>
      </c>
      <c r="B158" s="59">
        <v>283</v>
      </c>
      <c r="C158" s="59" t="s">
        <v>1693</v>
      </c>
      <c r="D158" s="59" t="s">
        <v>1693</v>
      </c>
      <c r="E158" s="59" t="s">
        <v>1692</v>
      </c>
      <c r="F158" s="59" t="s">
        <v>1694</v>
      </c>
      <c r="G158" s="59" t="s">
        <v>2281</v>
      </c>
      <c r="H158" s="59" t="s">
        <v>1693</v>
      </c>
      <c r="I158" s="59">
        <v>289</v>
      </c>
      <c r="J158" s="59">
        <v>283</v>
      </c>
      <c r="K158" s="59" t="s">
        <v>2282</v>
      </c>
      <c r="L158" s="59" t="s">
        <v>1270</v>
      </c>
      <c r="M158" s="59" t="s">
        <v>1888</v>
      </c>
      <c r="N158" s="59" t="s">
        <v>1888</v>
      </c>
      <c r="O158" s="59" t="s">
        <v>1888</v>
      </c>
      <c r="P158" s="59" t="b">
        <f>List129[[#This Row],[Income2018]]=List129[[#This Row],[Income]]</f>
        <v>1</v>
      </c>
      <c r="Q158" s="59" t="s">
        <v>2283</v>
      </c>
      <c r="R158" s="59" t="s">
        <v>240</v>
      </c>
      <c r="T158" s="59" t="s">
        <v>1886</v>
      </c>
      <c r="U158" s="59" t="s">
        <v>240</v>
      </c>
      <c r="V158" s="59" t="s">
        <v>240</v>
      </c>
      <c r="W158" s="60" t="s">
        <v>1886</v>
      </c>
      <c r="X158" s="60" t="s">
        <v>1886</v>
      </c>
      <c r="Y158" s="60" t="s">
        <v>240</v>
      </c>
      <c r="Z158" s="61">
        <f>IF(OR(List129[[#This Row],[Fragile 2018]]=1,List129[[#This Row],[Income]]="LDC"),1,"")</f>
        <v>1</v>
      </c>
      <c r="AA158" s="59" t="s">
        <v>1886</v>
      </c>
      <c r="AB158" s="59" t="s">
        <v>1886</v>
      </c>
      <c r="AC158" s="59" t="s">
        <v>1886</v>
      </c>
      <c r="AD158" s="59" t="s">
        <v>1925</v>
      </c>
      <c r="AE158" s="59" t="s">
        <v>240</v>
      </c>
      <c r="AF158" s="59" t="s">
        <v>1886</v>
      </c>
      <c r="AG158" s="59" t="s">
        <v>240</v>
      </c>
      <c r="AH158" s="59" t="s">
        <v>1886</v>
      </c>
      <c r="AI158" s="59" t="s">
        <v>240</v>
      </c>
      <c r="AJ158" s="59" t="s">
        <v>240</v>
      </c>
      <c r="AK158" s="59" t="s">
        <v>240</v>
      </c>
      <c r="AL158" s="59" t="s">
        <v>240</v>
      </c>
      <c r="AM158" s="59">
        <v>171</v>
      </c>
      <c r="AN158" s="59" t="s">
        <v>1693</v>
      </c>
    </row>
    <row r="159" spans="1:40" x14ac:dyDescent="0.2">
      <c r="A159" s="59">
        <v>686</v>
      </c>
      <c r="B159" s="59">
        <v>868</v>
      </c>
      <c r="C159" s="59" t="s">
        <v>1696</v>
      </c>
      <c r="D159" s="59" t="s">
        <v>1697</v>
      </c>
      <c r="E159" s="59" t="s">
        <v>1695</v>
      </c>
      <c r="F159" s="59" t="s">
        <v>1698</v>
      </c>
      <c r="G159" s="59" t="s">
        <v>2284</v>
      </c>
      <c r="I159" s="59">
        <v>889</v>
      </c>
      <c r="J159" s="59">
        <v>868</v>
      </c>
      <c r="K159" s="59" t="s">
        <v>2285</v>
      </c>
      <c r="L159" s="59" t="s">
        <v>1394</v>
      </c>
      <c r="M159" s="59" t="s">
        <v>1891</v>
      </c>
      <c r="N159" s="59" t="s">
        <v>1891</v>
      </c>
      <c r="O159" s="59" t="s">
        <v>1891</v>
      </c>
      <c r="P159" s="59" t="b">
        <f>List129[[#This Row],[Income2018]]=List129[[#This Row],[Income]]</f>
        <v>1</v>
      </c>
      <c r="Q159" s="59" t="s">
        <v>2286</v>
      </c>
      <c r="R159" s="59" t="s">
        <v>240</v>
      </c>
      <c r="T159" s="59" t="s">
        <v>240</v>
      </c>
      <c r="U159" s="59" t="s">
        <v>240</v>
      </c>
      <c r="V159" s="59" t="s">
        <v>240</v>
      </c>
      <c r="W159" s="60" t="s">
        <v>240</v>
      </c>
      <c r="X159" s="60" t="s">
        <v>240</v>
      </c>
      <c r="Y159" s="60" t="s">
        <v>240</v>
      </c>
      <c r="Z159" s="61" t="str">
        <f>IF(OR(List129[[#This Row],[Fragile 2018]]=1,List129[[#This Row],[Income]]="LDC"),1,"")</f>
        <v/>
      </c>
      <c r="AA159" s="59" t="s">
        <v>240</v>
      </c>
      <c r="AB159" s="59" t="s">
        <v>1886</v>
      </c>
      <c r="AC159" s="59" t="s">
        <v>240</v>
      </c>
      <c r="AD159" s="59" t="s">
        <v>240</v>
      </c>
      <c r="AE159" s="59" t="s">
        <v>240</v>
      </c>
      <c r="AF159" s="59" t="s">
        <v>240</v>
      </c>
      <c r="AG159" s="59" t="s">
        <v>240</v>
      </c>
      <c r="AH159" s="59" t="s">
        <v>240</v>
      </c>
      <c r="AI159" s="59" t="s">
        <v>240</v>
      </c>
      <c r="AJ159" s="59" t="s">
        <v>240</v>
      </c>
      <c r="AK159" s="59" t="s">
        <v>1886</v>
      </c>
      <c r="AL159" s="59" t="s">
        <v>240</v>
      </c>
      <c r="AM159" s="59">
        <v>290</v>
      </c>
      <c r="AN159" s="59" t="s">
        <v>1696</v>
      </c>
    </row>
    <row r="160" spans="1:40" x14ac:dyDescent="0.2">
      <c r="A160" s="59">
        <v>616</v>
      </c>
      <c r="B160" s="59">
        <v>870</v>
      </c>
      <c r="C160" s="59" t="s">
        <v>1700</v>
      </c>
      <c r="D160" s="59" t="s">
        <v>1700</v>
      </c>
      <c r="E160" s="59" t="s">
        <v>1699</v>
      </c>
      <c r="F160" s="59" t="s">
        <v>1701</v>
      </c>
      <c r="G160" s="59" t="s">
        <v>2287</v>
      </c>
      <c r="I160" s="59">
        <v>889</v>
      </c>
      <c r="J160" s="59">
        <v>870</v>
      </c>
      <c r="K160" s="59" t="s">
        <v>1701</v>
      </c>
      <c r="L160" s="59" t="s">
        <v>1394</v>
      </c>
      <c r="M160" s="59" t="s">
        <v>1891</v>
      </c>
      <c r="N160" s="59" t="s">
        <v>1892</v>
      </c>
      <c r="O160" s="59" t="s">
        <v>1892</v>
      </c>
      <c r="P160" s="59" t="b">
        <f>List129[[#This Row],[Income2018]]=List129[[#This Row],[Income]]</f>
        <v>0</v>
      </c>
      <c r="Q160" s="59" t="s">
        <v>2288</v>
      </c>
      <c r="R160" s="59" t="s">
        <v>240</v>
      </c>
      <c r="T160" s="59" t="s">
        <v>240</v>
      </c>
      <c r="U160" s="59" t="s">
        <v>1886</v>
      </c>
      <c r="V160" s="59" t="s">
        <v>240</v>
      </c>
      <c r="W160" s="60" t="s">
        <v>240</v>
      </c>
      <c r="X160" s="60" t="s">
        <v>240</v>
      </c>
      <c r="Y160" s="60" t="s">
        <v>240</v>
      </c>
      <c r="Z160" s="61" t="str">
        <f>IF(OR(List129[[#This Row],[Fragile 2018]]=1,List129[[#This Row],[Income]]="LDC"),1,"")</f>
        <v/>
      </c>
      <c r="AA160" s="59" t="s">
        <v>1886</v>
      </c>
      <c r="AB160" s="59" t="s">
        <v>1886</v>
      </c>
      <c r="AC160" s="59" t="s">
        <v>240</v>
      </c>
      <c r="AD160" s="59" t="s">
        <v>240</v>
      </c>
      <c r="AE160" s="59" t="s">
        <v>240</v>
      </c>
      <c r="AF160" s="59" t="s">
        <v>240</v>
      </c>
      <c r="AG160" s="59" t="s">
        <v>240</v>
      </c>
      <c r="AH160" s="59" t="s">
        <v>240</v>
      </c>
      <c r="AI160" s="59" t="s">
        <v>240</v>
      </c>
      <c r="AJ160" s="59" t="s">
        <v>240</v>
      </c>
      <c r="AK160" s="59" t="s">
        <v>1886</v>
      </c>
      <c r="AL160" s="59" t="s">
        <v>240</v>
      </c>
      <c r="AM160" s="59">
        <v>291</v>
      </c>
      <c r="AN160" s="59" t="s">
        <v>1700</v>
      </c>
    </row>
    <row r="161" spans="1:40" x14ac:dyDescent="0.2">
      <c r="A161" s="59">
        <v>422</v>
      </c>
      <c r="B161" s="59">
        <v>375</v>
      </c>
      <c r="C161" s="59" t="s">
        <v>1703</v>
      </c>
      <c r="D161" s="59" t="s">
        <v>1704</v>
      </c>
      <c r="E161" s="59" t="s">
        <v>1702</v>
      </c>
      <c r="F161" s="59" t="s">
        <v>1705</v>
      </c>
      <c r="G161" s="59" t="s">
        <v>2289</v>
      </c>
      <c r="I161" s="59">
        <v>498</v>
      </c>
      <c r="J161" s="59">
        <v>375</v>
      </c>
      <c r="K161" s="59" t="s">
        <v>2290</v>
      </c>
      <c r="L161" s="59" t="s">
        <v>1276</v>
      </c>
      <c r="M161" s="59" t="s">
        <v>1892</v>
      </c>
      <c r="O161" s="59" t="s">
        <v>1901</v>
      </c>
      <c r="P161" s="59" t="b">
        <f>List129[[#This Row],[Income2018]]=List129[[#This Row],[Income]]</f>
        <v>0</v>
      </c>
      <c r="Q161" s="59" t="s">
        <v>2291</v>
      </c>
      <c r="R161" s="59" t="s">
        <v>240</v>
      </c>
      <c r="T161" s="59" t="s">
        <v>240</v>
      </c>
      <c r="U161" s="59" t="s">
        <v>1886</v>
      </c>
      <c r="V161" s="59" t="s">
        <v>240</v>
      </c>
      <c r="W161" s="60" t="s">
        <v>240</v>
      </c>
      <c r="X161" s="60" t="s">
        <v>240</v>
      </c>
      <c r="Y161" s="60" t="s">
        <v>240</v>
      </c>
      <c r="Z161" s="61" t="str">
        <f>IF(OR(List129[[#This Row],[Fragile 2018]]=1,List129[[#This Row],[Income]]="LDC"),1,"")</f>
        <v/>
      </c>
      <c r="AA161" s="59" t="s">
        <v>1886</v>
      </c>
      <c r="AB161" s="59" t="s">
        <v>1886</v>
      </c>
      <c r="AC161" s="59" t="s">
        <v>240</v>
      </c>
      <c r="AD161" s="59" t="s">
        <v>240</v>
      </c>
      <c r="AE161" s="59" t="s">
        <v>240</v>
      </c>
      <c r="AF161" s="59" t="s">
        <v>240</v>
      </c>
      <c r="AG161" s="59" t="s">
        <v>240</v>
      </c>
      <c r="AH161" s="59" t="s">
        <v>240</v>
      </c>
      <c r="AI161" s="59" t="s">
        <v>1886</v>
      </c>
      <c r="AJ161" s="59" t="s">
        <v>240</v>
      </c>
      <c r="AK161" s="59" t="s">
        <v>240</v>
      </c>
      <c r="AL161" s="59" t="s">
        <v>240</v>
      </c>
      <c r="AM161" s="59">
        <v>203</v>
      </c>
      <c r="AN161" s="59" t="s">
        <v>1703</v>
      </c>
    </row>
    <row r="162" spans="1:40" x14ac:dyDescent="0.2">
      <c r="A162" s="59">
        <v>333</v>
      </c>
      <c r="B162" s="59">
        <v>232</v>
      </c>
      <c r="C162" s="59" t="s">
        <v>1707</v>
      </c>
      <c r="D162" s="59" t="s">
        <v>1708</v>
      </c>
      <c r="E162" s="59" t="s">
        <v>1706</v>
      </c>
      <c r="F162" s="59" t="s">
        <v>1709</v>
      </c>
      <c r="G162" s="59" t="s">
        <v>2292</v>
      </c>
      <c r="I162" s="59">
        <v>289</v>
      </c>
      <c r="J162" s="59">
        <v>232</v>
      </c>
      <c r="K162" s="59" t="s">
        <v>2293</v>
      </c>
      <c r="L162" s="59" t="s">
        <v>1270</v>
      </c>
      <c r="M162" s="59" t="s">
        <v>1888</v>
      </c>
      <c r="N162" s="59" t="s">
        <v>1888</v>
      </c>
      <c r="O162" s="59" t="s">
        <v>1888</v>
      </c>
      <c r="P162" s="59" t="b">
        <f>List129[[#This Row],[Income2018]]=List129[[#This Row],[Income]]</f>
        <v>1</v>
      </c>
      <c r="Q162" s="59" t="s">
        <v>2294</v>
      </c>
      <c r="R162" s="59" t="s">
        <v>240</v>
      </c>
      <c r="T162" s="59" t="s">
        <v>1886</v>
      </c>
      <c r="U162" s="59" t="s">
        <v>240</v>
      </c>
      <c r="V162" s="59" t="s">
        <v>1886</v>
      </c>
      <c r="W162" s="60" t="s">
        <v>1886</v>
      </c>
      <c r="X162" s="60" t="s">
        <v>1886</v>
      </c>
      <c r="Y162" s="60">
        <v>1</v>
      </c>
      <c r="Z162" s="61">
        <f>IF(OR(List129[[#This Row],[Fragile 2018]]=1,List129[[#This Row],[Income]]="LDC"),1,"")</f>
        <v>1</v>
      </c>
      <c r="AA162" s="59" t="s">
        <v>1886</v>
      </c>
      <c r="AB162" s="59" t="s">
        <v>1886</v>
      </c>
      <c r="AC162" s="59" t="s">
        <v>1886</v>
      </c>
      <c r="AE162" s="59" t="s">
        <v>240</v>
      </c>
      <c r="AF162" s="59" t="s">
        <v>1886</v>
      </c>
      <c r="AG162" s="59" t="s">
        <v>240</v>
      </c>
      <c r="AH162" s="59" t="s">
        <v>1886</v>
      </c>
      <c r="AI162" s="59" t="s">
        <v>240</v>
      </c>
      <c r="AJ162" s="59" t="s">
        <v>240</v>
      </c>
      <c r="AK162" s="59" t="s">
        <v>240</v>
      </c>
      <c r="AL162" s="59" t="s">
        <v>240</v>
      </c>
      <c r="AM162" s="59">
        <v>133</v>
      </c>
      <c r="AN162" s="59" t="s">
        <v>1707</v>
      </c>
    </row>
    <row r="163" spans="1:40" x14ac:dyDescent="0.2">
      <c r="A163" s="59">
        <v>357</v>
      </c>
      <c r="B163" s="59">
        <v>139</v>
      </c>
      <c r="C163" s="59" t="s">
        <v>1711</v>
      </c>
      <c r="D163" s="59" t="s">
        <v>1712</v>
      </c>
      <c r="E163" s="59" t="s">
        <v>1710</v>
      </c>
      <c r="F163" s="59" t="s">
        <v>1713</v>
      </c>
      <c r="G163" s="59" t="s">
        <v>2295</v>
      </c>
      <c r="I163" s="59">
        <v>189</v>
      </c>
      <c r="J163" s="59">
        <v>139</v>
      </c>
      <c r="K163" s="59" t="s">
        <v>1713</v>
      </c>
      <c r="L163" s="59" t="s">
        <v>1265</v>
      </c>
      <c r="M163" s="59" t="s">
        <v>1891</v>
      </c>
      <c r="N163" s="59" t="s">
        <v>1891</v>
      </c>
      <c r="O163" s="59" t="s">
        <v>1891</v>
      </c>
      <c r="P163" s="59" t="b">
        <f>List129[[#This Row],[Income2018]]=List129[[#This Row],[Income]]</f>
        <v>1</v>
      </c>
      <c r="Q163" s="59" t="s">
        <v>2296</v>
      </c>
      <c r="R163" s="59" t="s">
        <v>240</v>
      </c>
      <c r="T163" s="59" t="s">
        <v>240</v>
      </c>
      <c r="U163" s="59" t="s">
        <v>240</v>
      </c>
      <c r="V163" s="59" t="s">
        <v>240</v>
      </c>
      <c r="W163" s="60" t="s">
        <v>240</v>
      </c>
      <c r="X163" s="60" t="s">
        <v>240</v>
      </c>
      <c r="Y163" s="60" t="s">
        <v>240</v>
      </c>
      <c r="Z163" s="61" t="str">
        <f>IF(OR(List129[[#This Row],[Fragile 2018]]=1,List129[[#This Row],[Income]]="LDC"),1,"")</f>
        <v/>
      </c>
      <c r="AA163" s="59" t="s">
        <v>240</v>
      </c>
      <c r="AB163" s="59" t="s">
        <v>1886</v>
      </c>
      <c r="AC163" s="59" t="s">
        <v>240</v>
      </c>
      <c r="AD163" s="59" t="s">
        <v>240</v>
      </c>
      <c r="AE163" s="59" t="s">
        <v>240</v>
      </c>
      <c r="AF163" s="59" t="s">
        <v>1886</v>
      </c>
      <c r="AG163" s="59" t="s">
        <v>1886</v>
      </c>
      <c r="AH163" s="59" t="s">
        <v>240</v>
      </c>
      <c r="AI163" s="59" t="s">
        <v>240</v>
      </c>
      <c r="AJ163" s="59" t="s">
        <v>240</v>
      </c>
      <c r="AK163" s="59" t="s">
        <v>240</v>
      </c>
      <c r="AL163" s="59" t="s">
        <v>240</v>
      </c>
      <c r="AM163" s="59">
        <v>121</v>
      </c>
      <c r="AN163" s="59" t="s">
        <v>1711</v>
      </c>
    </row>
    <row r="164" spans="1:40" x14ac:dyDescent="0.2">
      <c r="A164" s="59">
        <v>134</v>
      </c>
      <c r="B164" s="59">
        <v>55</v>
      </c>
      <c r="C164" s="59" t="s">
        <v>1715</v>
      </c>
      <c r="D164" s="59" t="s">
        <v>1716</v>
      </c>
      <c r="E164" s="59" t="s">
        <v>1714</v>
      </c>
      <c r="F164" s="59" t="s">
        <v>1717</v>
      </c>
      <c r="G164" s="59" t="s">
        <v>2297</v>
      </c>
      <c r="I164" s="59">
        <v>89</v>
      </c>
      <c r="J164" s="59">
        <v>55</v>
      </c>
      <c r="K164" s="59" t="s">
        <v>1717</v>
      </c>
      <c r="L164" s="59" t="s">
        <v>1259</v>
      </c>
      <c r="M164" s="59" t="s">
        <v>1892</v>
      </c>
      <c r="N164" s="59" t="s">
        <v>1892</v>
      </c>
      <c r="O164" s="59" t="s">
        <v>1892</v>
      </c>
      <c r="P164" s="59" t="b">
        <f>List129[[#This Row],[Income2018]]=List129[[#This Row],[Income]]</f>
        <v>1</v>
      </c>
      <c r="Q164" s="59" t="s">
        <v>2298</v>
      </c>
      <c r="R164" s="59" t="s">
        <v>240</v>
      </c>
      <c r="T164" s="59" t="s">
        <v>240</v>
      </c>
      <c r="U164" s="59" t="s">
        <v>240</v>
      </c>
      <c r="V164" s="59" t="s">
        <v>240</v>
      </c>
      <c r="W164" s="60" t="s">
        <v>240</v>
      </c>
      <c r="X164" s="60" t="s">
        <v>240</v>
      </c>
      <c r="Y164" s="60" t="s">
        <v>240</v>
      </c>
      <c r="Z164" s="61" t="str">
        <f>IF(OR(List129[[#This Row],[Fragile 2018]]=1,List129[[#This Row],[Income]]="LDC"),1,"")</f>
        <v/>
      </c>
      <c r="AA164" s="59" t="s">
        <v>240</v>
      </c>
      <c r="AB164" s="59" t="s">
        <v>1886</v>
      </c>
      <c r="AC164" s="59" t="s">
        <v>240</v>
      </c>
      <c r="AD164" s="59" t="s">
        <v>240</v>
      </c>
      <c r="AE164" s="59" t="s">
        <v>240</v>
      </c>
      <c r="AF164" s="59" t="s">
        <v>240</v>
      </c>
      <c r="AG164" s="59" t="s">
        <v>240</v>
      </c>
      <c r="AH164" s="59" t="s">
        <v>240</v>
      </c>
      <c r="AI164" s="59" t="s">
        <v>240</v>
      </c>
      <c r="AJ164" s="59" t="s">
        <v>240</v>
      </c>
      <c r="AK164" s="59" t="s">
        <v>240</v>
      </c>
      <c r="AL164" s="59" t="s">
        <v>1886</v>
      </c>
      <c r="AM164" s="59">
        <v>109</v>
      </c>
      <c r="AN164" s="59" t="s">
        <v>1715</v>
      </c>
    </row>
    <row r="165" spans="1:40" x14ac:dyDescent="0.2">
      <c r="A165" s="59">
        <v>276</v>
      </c>
      <c r="B165" s="59">
        <v>616</v>
      </c>
      <c r="C165" s="59" t="s">
        <v>1718</v>
      </c>
      <c r="D165" s="59" t="s">
        <v>1718</v>
      </c>
      <c r="E165" s="59" t="s">
        <v>1718</v>
      </c>
      <c r="F165" s="59" t="s">
        <v>1719</v>
      </c>
      <c r="G165" s="59" t="s">
        <v>2299</v>
      </c>
      <c r="I165" s="59">
        <v>798</v>
      </c>
      <c r="J165" s="59">
        <v>616</v>
      </c>
      <c r="K165" s="59" t="s">
        <v>2300</v>
      </c>
      <c r="L165" s="59" t="s">
        <v>1253</v>
      </c>
      <c r="M165" s="59" t="s">
        <v>1891</v>
      </c>
      <c r="N165" s="59" t="s">
        <v>1892</v>
      </c>
      <c r="O165" s="59" t="s">
        <v>1892</v>
      </c>
      <c r="P165" s="59" t="b">
        <f>List129[[#This Row],[Income2018]]=List129[[#This Row],[Income]]</f>
        <v>0</v>
      </c>
      <c r="Q165" s="59" t="s">
        <v>2301</v>
      </c>
      <c r="R165" s="59" t="s">
        <v>240</v>
      </c>
      <c r="T165" s="59" t="s">
        <v>240</v>
      </c>
      <c r="U165" s="59" t="s">
        <v>240</v>
      </c>
      <c r="V165" s="59" t="s">
        <v>1886</v>
      </c>
      <c r="W165" s="60" t="s">
        <v>240</v>
      </c>
      <c r="X165" s="60" t="s">
        <v>240</v>
      </c>
      <c r="Y165" s="60" t="s">
        <v>240</v>
      </c>
      <c r="Z165" s="61" t="str">
        <f>IF(OR(List129[[#This Row],[Fragile 2018]]=1,List129[[#This Row],[Income]]="LDC"),1,"")</f>
        <v/>
      </c>
      <c r="AA165" s="59" t="s">
        <v>240</v>
      </c>
      <c r="AB165" s="59" t="s">
        <v>1886</v>
      </c>
      <c r="AC165" s="59" t="s">
        <v>240</v>
      </c>
      <c r="AD165" s="59" t="s">
        <v>240</v>
      </c>
      <c r="AE165" s="59" t="s">
        <v>240</v>
      </c>
      <c r="AF165" s="59" t="s">
        <v>240</v>
      </c>
      <c r="AG165" s="59" t="s">
        <v>240</v>
      </c>
      <c r="AH165" s="59" t="s">
        <v>240</v>
      </c>
      <c r="AI165" s="59" t="s">
        <v>240</v>
      </c>
      <c r="AJ165" s="59" t="s">
        <v>1886</v>
      </c>
      <c r="AK165" s="59" t="s">
        <v>240</v>
      </c>
      <c r="AL165" s="59" t="s">
        <v>240</v>
      </c>
      <c r="AM165" s="59">
        <v>255</v>
      </c>
      <c r="AN165" s="59" t="s">
        <v>1718</v>
      </c>
    </row>
    <row r="166" spans="1:40" x14ac:dyDescent="0.2">
      <c r="A166" s="59">
        <v>488</v>
      </c>
      <c r="B166" s="59">
        <v>387</v>
      </c>
      <c r="C166" s="59" t="s">
        <v>1721</v>
      </c>
      <c r="D166" s="59" t="s">
        <v>1722</v>
      </c>
      <c r="E166" s="59" t="s">
        <v>1720</v>
      </c>
      <c r="F166" s="59" t="s">
        <v>1723</v>
      </c>
      <c r="G166" s="59" t="s">
        <v>2302</v>
      </c>
      <c r="I166" s="59">
        <v>498</v>
      </c>
      <c r="J166" s="59">
        <v>387</v>
      </c>
      <c r="K166" s="59" t="s">
        <v>2303</v>
      </c>
      <c r="L166" s="59" t="s">
        <v>1276</v>
      </c>
      <c r="M166" s="59" t="s">
        <v>1892</v>
      </c>
      <c r="O166" s="59" t="s">
        <v>1901</v>
      </c>
      <c r="P166" s="59" t="b">
        <f>List129[[#This Row],[Income2018]]=List129[[#This Row],[Income]]</f>
        <v>0</v>
      </c>
      <c r="Q166" s="59" t="s">
        <v>2304</v>
      </c>
      <c r="R166" s="59" t="s">
        <v>240</v>
      </c>
      <c r="T166" s="59" t="s">
        <v>240</v>
      </c>
      <c r="U166" s="59" t="s">
        <v>240</v>
      </c>
      <c r="V166" s="59" t="s">
        <v>240</v>
      </c>
      <c r="W166" s="60" t="s">
        <v>240</v>
      </c>
      <c r="X166" s="60" t="s">
        <v>240</v>
      </c>
      <c r="Y166" s="60" t="s">
        <v>240</v>
      </c>
      <c r="Z166" s="61" t="str">
        <f>IF(OR(List129[[#This Row],[Fragile 2018]]=1,List129[[#This Row],[Income]]="LDC"),1,"")</f>
        <v/>
      </c>
      <c r="AA166" s="59" t="s">
        <v>240</v>
      </c>
      <c r="AB166" s="59" t="s">
        <v>1886</v>
      </c>
      <c r="AC166" s="59" t="s">
        <v>240</v>
      </c>
      <c r="AD166" s="59" t="s">
        <v>240</v>
      </c>
      <c r="AE166" s="59" t="s">
        <v>240</v>
      </c>
      <c r="AF166" s="59" t="s">
        <v>240</v>
      </c>
      <c r="AG166" s="59" t="s">
        <v>240</v>
      </c>
      <c r="AH166" s="59" t="s">
        <v>240</v>
      </c>
      <c r="AI166" s="59" t="s">
        <v>1886</v>
      </c>
      <c r="AJ166" s="59" t="s">
        <v>240</v>
      </c>
      <c r="AK166" s="59" t="s">
        <v>240</v>
      </c>
      <c r="AL166" s="59" t="s">
        <v>240</v>
      </c>
      <c r="AM166" s="59">
        <v>204</v>
      </c>
      <c r="AN166" s="59" t="s">
        <v>1721</v>
      </c>
    </row>
    <row r="167" spans="1:40" x14ac:dyDescent="0.2">
      <c r="A167" s="59">
        <v>621</v>
      </c>
      <c r="B167" s="59">
        <v>872</v>
      </c>
      <c r="C167" s="59" t="s">
        <v>1724</v>
      </c>
      <c r="D167" s="59" t="s">
        <v>1724</v>
      </c>
      <c r="E167" s="59" t="s">
        <v>1724</v>
      </c>
      <c r="F167" s="59" t="s">
        <v>1725</v>
      </c>
      <c r="G167" s="59" t="s">
        <v>2305</v>
      </c>
      <c r="I167" s="59">
        <v>889</v>
      </c>
      <c r="J167" s="59">
        <v>872</v>
      </c>
      <c r="K167" s="59" t="s">
        <v>1725</v>
      </c>
      <c r="L167" s="59" t="s">
        <v>1394</v>
      </c>
      <c r="M167" s="59" t="s">
        <v>1888</v>
      </c>
      <c r="N167" s="59" t="s">
        <v>1888</v>
      </c>
      <c r="O167" s="59" t="s">
        <v>1888</v>
      </c>
      <c r="P167" s="59" t="b">
        <f>List129[[#This Row],[Income2018]]=List129[[#This Row],[Income]]</f>
        <v>1</v>
      </c>
      <c r="Q167" s="59" t="s">
        <v>2306</v>
      </c>
      <c r="R167" s="59" t="s">
        <v>240</v>
      </c>
      <c r="T167" s="59" t="s">
        <v>1886</v>
      </c>
      <c r="U167" s="59" t="s">
        <v>1886</v>
      </c>
      <c r="V167" s="59" t="s">
        <v>240</v>
      </c>
      <c r="W167" s="60" t="s">
        <v>1886</v>
      </c>
      <c r="X167" s="60" t="s">
        <v>1886</v>
      </c>
      <c r="Y167" s="60" t="s">
        <v>240</v>
      </c>
      <c r="Z167" s="61">
        <f>IF(OR(List129[[#This Row],[Fragile 2018]]=1,List129[[#This Row],[Income]]="LDC"),1,"")</f>
        <v>1</v>
      </c>
      <c r="AA167" s="59" t="s">
        <v>1886</v>
      </c>
      <c r="AB167" s="59" t="s">
        <v>1886</v>
      </c>
      <c r="AC167" s="59" t="s">
        <v>240</v>
      </c>
      <c r="AD167" s="59" t="s">
        <v>240</v>
      </c>
      <c r="AE167" s="59" t="s">
        <v>240</v>
      </c>
      <c r="AF167" s="59" t="s">
        <v>240</v>
      </c>
      <c r="AG167" s="59" t="s">
        <v>240</v>
      </c>
      <c r="AH167" s="59" t="s">
        <v>240</v>
      </c>
      <c r="AI167" s="59" t="s">
        <v>240</v>
      </c>
      <c r="AJ167" s="59" t="s">
        <v>240</v>
      </c>
      <c r="AK167" s="59" t="s">
        <v>1886</v>
      </c>
      <c r="AL167" s="59" t="s">
        <v>240</v>
      </c>
      <c r="AM167" s="59">
        <v>292</v>
      </c>
      <c r="AN167" s="59" t="s">
        <v>1724</v>
      </c>
    </row>
    <row r="168" spans="1:40" x14ac:dyDescent="0.2">
      <c r="A168" s="59">
        <v>519</v>
      </c>
      <c r="B168" s="59">
        <v>460</v>
      </c>
      <c r="C168" s="59" t="s">
        <v>1729</v>
      </c>
      <c r="D168" s="59" t="s">
        <v>1729</v>
      </c>
      <c r="E168" s="59" t="s">
        <v>1729</v>
      </c>
      <c r="F168" s="59" t="s">
        <v>1730</v>
      </c>
      <c r="G168" s="59" t="s">
        <v>2307</v>
      </c>
      <c r="I168" s="59">
        <v>498</v>
      </c>
      <c r="J168" s="59">
        <v>460</v>
      </c>
      <c r="K168" s="59" t="s">
        <v>2308</v>
      </c>
      <c r="L168" s="59" t="s">
        <v>1276</v>
      </c>
      <c r="M168" s="59" t="s">
        <v>1892</v>
      </c>
      <c r="O168" s="59" t="s">
        <v>1901</v>
      </c>
      <c r="P168" s="59" t="b">
        <f>List129[[#This Row],[Income2018]]=List129[[#This Row],[Income]]</f>
        <v>0</v>
      </c>
      <c r="Q168" s="59" t="s">
        <v>2309</v>
      </c>
      <c r="R168" s="59" t="s">
        <v>240</v>
      </c>
      <c r="T168" s="59" t="s">
        <v>240</v>
      </c>
      <c r="U168" s="59" t="s">
        <v>240</v>
      </c>
      <c r="V168" s="59" t="s">
        <v>240</v>
      </c>
      <c r="W168" s="60" t="s">
        <v>240</v>
      </c>
      <c r="X168" s="60" t="s">
        <v>240</v>
      </c>
      <c r="Y168" s="60" t="s">
        <v>240</v>
      </c>
      <c r="Z168" s="61" t="str">
        <f>IF(OR(List129[[#This Row],[Fragile 2018]]=1,List129[[#This Row],[Income]]="LDC"),1,"")</f>
        <v/>
      </c>
      <c r="AA168" s="59" t="s">
        <v>240</v>
      </c>
      <c r="AB168" s="59" t="s">
        <v>1886</v>
      </c>
      <c r="AC168" s="59" t="s">
        <v>240</v>
      </c>
      <c r="AD168" s="59" t="s">
        <v>240</v>
      </c>
      <c r="AE168" s="59" t="s">
        <v>240</v>
      </c>
      <c r="AF168" s="59" t="s">
        <v>240</v>
      </c>
      <c r="AG168" s="59" t="s">
        <v>240</v>
      </c>
      <c r="AH168" s="59" t="s">
        <v>240</v>
      </c>
      <c r="AI168" s="59" t="s">
        <v>1886</v>
      </c>
      <c r="AJ168" s="59" t="s">
        <v>240</v>
      </c>
      <c r="AK168" s="59" t="s">
        <v>240</v>
      </c>
      <c r="AL168" s="59" t="s">
        <v>240</v>
      </c>
      <c r="AM168" s="59">
        <v>219</v>
      </c>
      <c r="AN168" s="59" t="s">
        <v>1729</v>
      </c>
    </row>
    <row r="169" spans="1:40" x14ac:dyDescent="0.2">
      <c r="A169" s="59">
        <v>618</v>
      </c>
      <c r="B169" s="59">
        <v>854</v>
      </c>
      <c r="C169" s="59" t="s">
        <v>1731</v>
      </c>
      <c r="D169" s="59" t="s">
        <v>1731</v>
      </c>
      <c r="E169" s="59" t="s">
        <v>1731</v>
      </c>
      <c r="F169" s="59" t="s">
        <v>1732</v>
      </c>
      <c r="G169" s="59" t="s">
        <v>2310</v>
      </c>
      <c r="I169" s="59">
        <v>889</v>
      </c>
      <c r="J169" s="59">
        <v>854</v>
      </c>
      <c r="K169" s="59" t="s">
        <v>2311</v>
      </c>
      <c r="L169" s="59" t="s">
        <v>1394</v>
      </c>
      <c r="M169" s="59" t="s">
        <v>1888</v>
      </c>
      <c r="N169" s="59" t="s">
        <v>1888</v>
      </c>
      <c r="O169" s="59" t="s">
        <v>1888</v>
      </c>
      <c r="P169" s="59" t="b">
        <f>List129[[#This Row],[Income2018]]=List129[[#This Row],[Income]]</f>
        <v>1</v>
      </c>
      <c r="Q169" s="59" t="s">
        <v>2312</v>
      </c>
      <c r="R169" s="59" t="s">
        <v>240</v>
      </c>
      <c r="T169" s="59" t="s">
        <v>1886</v>
      </c>
      <c r="U169" s="59" t="s">
        <v>1886</v>
      </c>
      <c r="V169" s="59" t="s">
        <v>240</v>
      </c>
      <c r="W169" s="59" t="s">
        <v>240</v>
      </c>
      <c r="X169" s="59" t="s">
        <v>240</v>
      </c>
      <c r="Y169" s="59" t="s">
        <v>240</v>
      </c>
      <c r="Z169" s="61">
        <f>IF(OR(List129[[#This Row],[Fragile 2018]]=1,List129[[#This Row],[Income]]="LDC"),1,"")</f>
        <v>1</v>
      </c>
      <c r="AA169" s="59" t="s">
        <v>1886</v>
      </c>
      <c r="AB169" s="59" t="s">
        <v>1886</v>
      </c>
      <c r="AC169" s="59" t="s">
        <v>240</v>
      </c>
      <c r="AD169" s="59" t="s">
        <v>240</v>
      </c>
      <c r="AE169" s="59" t="s">
        <v>240</v>
      </c>
      <c r="AF169" s="59" t="s">
        <v>240</v>
      </c>
      <c r="AG169" s="59" t="s">
        <v>240</v>
      </c>
      <c r="AH169" s="59" t="s">
        <v>240</v>
      </c>
      <c r="AI169" s="59" t="s">
        <v>240</v>
      </c>
      <c r="AJ169" s="59" t="s">
        <v>240</v>
      </c>
      <c r="AK169" s="59" t="s">
        <v>1886</v>
      </c>
      <c r="AL169" s="59" t="s">
        <v>240</v>
      </c>
      <c r="AM169" s="59">
        <v>293</v>
      </c>
      <c r="AN169" s="59" t="s">
        <v>1731</v>
      </c>
    </row>
    <row r="170" spans="1:40" x14ac:dyDescent="0.2">
      <c r="A170" s="59">
        <v>520</v>
      </c>
      <c r="B170" s="59">
        <v>463</v>
      </c>
      <c r="C170" s="59" t="s">
        <v>1733</v>
      </c>
      <c r="D170" s="59" t="s">
        <v>1733</v>
      </c>
      <c r="E170" s="59" t="s">
        <v>1733</v>
      </c>
      <c r="F170" s="59" t="s">
        <v>1734</v>
      </c>
      <c r="G170" s="59" t="s">
        <v>2313</v>
      </c>
      <c r="I170" s="59">
        <v>498</v>
      </c>
      <c r="J170" s="59">
        <v>463</v>
      </c>
      <c r="K170" s="59" t="s">
        <v>1734</v>
      </c>
      <c r="L170" s="59" t="s">
        <v>1276</v>
      </c>
      <c r="M170" s="59" t="s">
        <v>1892</v>
      </c>
      <c r="N170" s="59" t="s">
        <v>1892</v>
      </c>
      <c r="O170" s="59" t="s">
        <v>1892</v>
      </c>
      <c r="P170" s="59" t="b">
        <f>List129[[#This Row],[Income2018]]=List129[[#This Row],[Income]]</f>
        <v>1</v>
      </c>
      <c r="Q170" s="59" t="s">
        <v>2314</v>
      </c>
      <c r="R170" s="59" t="s">
        <v>240</v>
      </c>
      <c r="T170" s="59" t="s">
        <v>240</v>
      </c>
      <c r="U170" s="59" t="s">
        <v>240</v>
      </c>
      <c r="V170" s="59" t="s">
        <v>240</v>
      </c>
      <c r="W170" s="60" t="s">
        <v>240</v>
      </c>
      <c r="X170" s="60" t="s">
        <v>240</v>
      </c>
      <c r="Y170" s="60">
        <v>1</v>
      </c>
      <c r="Z170" s="61">
        <f>IF(OR(List129[[#This Row],[Fragile 2018]]=1,List129[[#This Row],[Income]]="LDC"),1,"")</f>
        <v>1</v>
      </c>
      <c r="AA170" s="59" t="s">
        <v>240</v>
      </c>
      <c r="AB170" s="59" t="s">
        <v>1886</v>
      </c>
      <c r="AC170" s="59" t="s">
        <v>240</v>
      </c>
      <c r="AD170" s="59" t="s">
        <v>240</v>
      </c>
      <c r="AE170" s="59" t="s">
        <v>240</v>
      </c>
      <c r="AF170" s="59" t="s">
        <v>240</v>
      </c>
      <c r="AG170" s="59" t="s">
        <v>240</v>
      </c>
      <c r="AH170" s="59" t="s">
        <v>240</v>
      </c>
      <c r="AI170" s="59" t="s">
        <v>1886</v>
      </c>
      <c r="AJ170" s="59" t="s">
        <v>240</v>
      </c>
      <c r="AK170" s="59" t="s">
        <v>240</v>
      </c>
      <c r="AL170" s="59" t="s">
        <v>240</v>
      </c>
      <c r="AM170" s="59">
        <v>220</v>
      </c>
      <c r="AN170" s="59" t="s">
        <v>1733</v>
      </c>
    </row>
    <row r="171" spans="1:40" x14ac:dyDescent="0.2">
      <c r="A171" s="59">
        <v>332</v>
      </c>
      <c r="B171" s="59">
        <v>282</v>
      </c>
      <c r="C171" s="59" t="s">
        <v>1367</v>
      </c>
      <c r="D171" s="59" t="s">
        <v>1684</v>
      </c>
      <c r="E171" s="59" t="s">
        <v>1367</v>
      </c>
      <c r="F171" s="59" t="s">
        <v>1685</v>
      </c>
      <c r="G171" s="59" t="s">
        <v>2315</v>
      </c>
      <c r="H171" s="59" t="s">
        <v>1367</v>
      </c>
      <c r="I171" s="59">
        <v>289</v>
      </c>
      <c r="J171" s="59">
        <v>282</v>
      </c>
      <c r="K171" s="59" t="s">
        <v>2316</v>
      </c>
      <c r="L171" s="59" t="s">
        <v>1270</v>
      </c>
      <c r="M171" s="59" t="s">
        <v>1888</v>
      </c>
      <c r="N171" s="59" t="s">
        <v>1888</v>
      </c>
      <c r="O171" s="59" t="s">
        <v>1888</v>
      </c>
      <c r="P171" s="59" t="b">
        <f>List129[[#This Row],[Income2018]]=List129[[#This Row],[Income]]</f>
        <v>1</v>
      </c>
      <c r="Q171" s="59" t="s">
        <v>2317</v>
      </c>
      <c r="R171" s="59" t="s">
        <v>1886</v>
      </c>
      <c r="S171" s="59" t="s">
        <v>1685</v>
      </c>
      <c r="T171" s="59" t="s">
        <v>1886</v>
      </c>
      <c r="U171" s="59" t="s">
        <v>240</v>
      </c>
      <c r="V171" s="59" t="s">
        <v>240</v>
      </c>
      <c r="W171" s="60" t="s">
        <v>240</v>
      </c>
      <c r="X171" s="60" t="s">
        <v>240</v>
      </c>
      <c r="Y171" s="60">
        <v>1</v>
      </c>
      <c r="Z171" s="61">
        <f>IF(OR(List129[[#This Row],[Fragile 2018]]=1,List129[[#This Row],[Income]]="LDC"),1,"")</f>
        <v>1</v>
      </c>
      <c r="AA171" s="59" t="s">
        <v>1886</v>
      </c>
      <c r="AB171" s="59" t="s">
        <v>1886</v>
      </c>
      <c r="AC171" s="59" t="s">
        <v>1886</v>
      </c>
      <c r="AD171" s="59" t="s">
        <v>240</v>
      </c>
      <c r="AE171" s="59" t="s">
        <v>240</v>
      </c>
      <c r="AF171" s="59" t="s">
        <v>1886</v>
      </c>
      <c r="AG171" s="59" t="s">
        <v>240</v>
      </c>
      <c r="AH171" s="59" t="s">
        <v>1886</v>
      </c>
      <c r="AI171" s="59" t="s">
        <v>240</v>
      </c>
      <c r="AJ171" s="59" t="s">
        <v>240</v>
      </c>
      <c r="AK171" s="59" t="s">
        <v>240</v>
      </c>
      <c r="AL171" s="59" t="s">
        <v>240</v>
      </c>
      <c r="AM171" s="59">
        <v>170</v>
      </c>
      <c r="AN171" s="59" t="s">
        <v>1367</v>
      </c>
    </row>
    <row r="172" spans="1:40" x14ac:dyDescent="0.2">
      <c r="A172" s="59">
        <v>689</v>
      </c>
      <c r="B172" s="59">
        <v>876</v>
      </c>
      <c r="C172" s="59" t="s">
        <v>1737</v>
      </c>
      <c r="D172" s="59" t="s">
        <v>1738</v>
      </c>
      <c r="E172" s="59" t="s">
        <v>1736</v>
      </c>
      <c r="F172" s="59" t="s">
        <v>1739</v>
      </c>
      <c r="G172" s="59" t="s">
        <v>2318</v>
      </c>
      <c r="I172" s="59">
        <v>889</v>
      </c>
      <c r="J172" s="59">
        <v>876</v>
      </c>
      <c r="K172" s="59" t="s">
        <v>2319</v>
      </c>
      <c r="L172" s="59" t="s">
        <v>1394</v>
      </c>
      <c r="M172" s="59" t="s">
        <v>1891</v>
      </c>
      <c r="N172" s="59" t="s">
        <v>1892</v>
      </c>
      <c r="O172" s="59" t="s">
        <v>1892</v>
      </c>
      <c r="P172" s="59" t="b">
        <f>List129[[#This Row],[Income2018]]=List129[[#This Row],[Income]]</f>
        <v>0</v>
      </c>
      <c r="Q172" s="59" t="s">
        <v>2320</v>
      </c>
      <c r="R172" s="59" t="s">
        <v>240</v>
      </c>
      <c r="T172" s="59" t="s">
        <v>240</v>
      </c>
      <c r="U172" s="59" t="s">
        <v>240</v>
      </c>
      <c r="V172" s="59" t="s">
        <v>240</v>
      </c>
      <c r="W172" s="60" t="s">
        <v>240</v>
      </c>
      <c r="X172" s="60" t="s">
        <v>240</v>
      </c>
      <c r="Y172" s="60" t="s">
        <v>240</v>
      </c>
      <c r="Z172" s="61" t="str">
        <f>IF(OR(List129[[#This Row],[Fragile 2018]]=1,List129[[#This Row],[Income]]="LDC"),1,"")</f>
        <v/>
      </c>
      <c r="AA172" s="59" t="s">
        <v>240</v>
      </c>
      <c r="AB172" s="59" t="s">
        <v>1886</v>
      </c>
      <c r="AC172" s="59" t="s">
        <v>240</v>
      </c>
      <c r="AD172" s="59" t="s">
        <v>240</v>
      </c>
      <c r="AE172" s="59" t="s">
        <v>240</v>
      </c>
      <c r="AF172" s="59" t="s">
        <v>240</v>
      </c>
      <c r="AG172" s="59" t="s">
        <v>240</v>
      </c>
      <c r="AH172" s="59" t="s">
        <v>240</v>
      </c>
      <c r="AI172" s="59" t="s">
        <v>240</v>
      </c>
      <c r="AJ172" s="59" t="s">
        <v>240</v>
      </c>
      <c r="AK172" s="59" t="s">
        <v>1886</v>
      </c>
      <c r="AL172" s="59" t="s">
        <v>240</v>
      </c>
      <c r="AM172" s="59">
        <v>294</v>
      </c>
      <c r="AN172" s="59" t="s">
        <v>1737</v>
      </c>
    </row>
    <row r="173" spans="1:40" x14ac:dyDescent="0.2">
      <c r="A173" s="59">
        <v>614</v>
      </c>
      <c r="B173" s="59">
        <v>880</v>
      </c>
      <c r="C173" s="59" t="s">
        <v>1741</v>
      </c>
      <c r="D173" s="59" t="s">
        <v>1742</v>
      </c>
      <c r="E173" s="59" t="s">
        <v>1743</v>
      </c>
      <c r="F173" s="59" t="s">
        <v>1744</v>
      </c>
      <c r="G173" s="59" t="s">
        <v>2321</v>
      </c>
      <c r="I173" s="59">
        <v>889</v>
      </c>
      <c r="J173" s="59">
        <v>880</v>
      </c>
      <c r="K173" s="59" t="s">
        <v>1228</v>
      </c>
      <c r="L173" s="59" t="s">
        <v>1394</v>
      </c>
      <c r="M173" s="59" t="s">
        <v>1888</v>
      </c>
      <c r="N173" s="59" t="s">
        <v>1892</v>
      </c>
      <c r="O173" s="59" t="s">
        <v>1892</v>
      </c>
      <c r="P173" s="59" t="b">
        <f>List129[[#This Row],[Income2018]]=List129[[#This Row],[Income]]</f>
        <v>0</v>
      </c>
      <c r="Q173" s="59" t="s">
        <v>2322</v>
      </c>
      <c r="R173" s="59" t="s">
        <v>240</v>
      </c>
      <c r="T173" s="59" t="s">
        <v>1886</v>
      </c>
      <c r="U173" s="59" t="s">
        <v>1886</v>
      </c>
      <c r="V173" s="59" t="s">
        <v>240</v>
      </c>
      <c r="W173" s="60" t="s">
        <v>240</v>
      </c>
      <c r="X173" s="60" t="s">
        <v>240</v>
      </c>
      <c r="Y173" s="60" t="s">
        <v>240</v>
      </c>
      <c r="Z173" s="61">
        <f>IF(OR(List129[[#This Row],[Fragile 2018]]=1,List129[[#This Row],[Income]]="LDC"),1,"")</f>
        <v>1</v>
      </c>
      <c r="AA173" s="59" t="s">
        <v>1886</v>
      </c>
      <c r="AB173" s="59" t="s">
        <v>1886</v>
      </c>
      <c r="AC173" s="59" t="s">
        <v>240</v>
      </c>
      <c r="AD173" s="59" t="s">
        <v>240</v>
      </c>
      <c r="AE173" s="59" t="s">
        <v>240</v>
      </c>
      <c r="AF173" s="59" t="s">
        <v>240</v>
      </c>
      <c r="AG173" s="59" t="s">
        <v>240</v>
      </c>
      <c r="AH173" s="59" t="s">
        <v>240</v>
      </c>
      <c r="AI173" s="59" t="s">
        <v>240</v>
      </c>
      <c r="AJ173" s="59" t="s">
        <v>240</v>
      </c>
      <c r="AK173" s="59" t="s">
        <v>1886</v>
      </c>
      <c r="AL173" s="59" t="s">
        <v>240</v>
      </c>
      <c r="AM173" s="59">
        <v>288</v>
      </c>
      <c r="AN173" s="59" t="s">
        <v>1741</v>
      </c>
    </row>
    <row r="174" spans="1:40" x14ac:dyDescent="0.2">
      <c r="A174" s="59">
        <v>335</v>
      </c>
      <c r="B174" s="59">
        <v>288</v>
      </c>
      <c r="C174" s="59" t="s">
        <v>1745</v>
      </c>
      <c r="D174" s="59" t="s">
        <v>1746</v>
      </c>
      <c r="E174" s="59" t="s">
        <v>1745</v>
      </c>
      <c r="F174" s="59" t="s">
        <v>1747</v>
      </c>
      <c r="G174" s="59" t="s">
        <v>2323</v>
      </c>
      <c r="H174" s="59" t="s">
        <v>1745</v>
      </c>
      <c r="I174" s="59">
        <v>289</v>
      </c>
      <c r="J174" s="59">
        <v>288</v>
      </c>
      <c r="K174" s="59" t="s">
        <v>2324</v>
      </c>
      <c r="L174" s="59" t="s">
        <v>1270</v>
      </c>
      <c r="M174" s="59" t="s">
        <v>1888</v>
      </c>
      <c r="N174" s="59" t="s">
        <v>1888</v>
      </c>
      <c r="O174" s="59" t="s">
        <v>1888</v>
      </c>
      <c r="P174" s="59" t="b">
        <f>List129[[#This Row],[Income2018]]=List129[[#This Row],[Income]]</f>
        <v>1</v>
      </c>
      <c r="Q174" s="59" t="s">
        <v>2325</v>
      </c>
      <c r="R174" s="59" t="s">
        <v>240</v>
      </c>
      <c r="T174" s="59" t="s">
        <v>1886</v>
      </c>
      <c r="U174" s="59" t="s">
        <v>240</v>
      </c>
      <c r="V174" s="59" t="s">
        <v>1886</v>
      </c>
      <c r="W174" s="60" t="s">
        <v>240</v>
      </c>
      <c r="X174" s="60" t="s">
        <v>240</v>
      </c>
      <c r="Y174" s="60">
        <v>1</v>
      </c>
      <c r="Z174" s="61">
        <f>IF(OR(List129[[#This Row],[Fragile 2018]]=1,List129[[#This Row],[Income]]="LDC"),1,"")</f>
        <v>1</v>
      </c>
      <c r="AA174" s="59" t="s">
        <v>1886</v>
      </c>
      <c r="AB174" s="59" t="s">
        <v>1886</v>
      </c>
      <c r="AC174" s="59" t="s">
        <v>1886</v>
      </c>
      <c r="AD174" s="59" t="s">
        <v>240</v>
      </c>
      <c r="AE174" s="59" t="s">
        <v>240</v>
      </c>
      <c r="AF174" s="59" t="s">
        <v>1886</v>
      </c>
      <c r="AG174" s="59" t="s">
        <v>240</v>
      </c>
      <c r="AH174" s="59" t="s">
        <v>1886</v>
      </c>
      <c r="AI174" s="59" t="s">
        <v>240</v>
      </c>
      <c r="AJ174" s="59" t="s">
        <v>240</v>
      </c>
      <c r="AK174" s="59" t="s">
        <v>240</v>
      </c>
      <c r="AL174" s="59" t="s">
        <v>240</v>
      </c>
      <c r="AM174" s="59">
        <v>173</v>
      </c>
      <c r="AN174" s="59" t="s">
        <v>1745</v>
      </c>
    </row>
    <row r="175" spans="1:40" x14ac:dyDescent="0.2">
      <c r="A175" s="59">
        <v>344</v>
      </c>
      <c r="B175" s="59">
        <v>265</v>
      </c>
      <c r="C175" s="59" t="s">
        <v>1748</v>
      </c>
      <c r="D175" s="59" t="s">
        <v>1749</v>
      </c>
      <c r="E175" s="59" t="s">
        <v>1748</v>
      </c>
      <c r="F175" s="59" t="s">
        <v>1750</v>
      </c>
      <c r="G175" s="59" t="s">
        <v>2326</v>
      </c>
      <c r="H175" s="59" t="s">
        <v>1748</v>
      </c>
      <c r="I175" s="59">
        <v>289</v>
      </c>
      <c r="J175" s="59">
        <v>265</v>
      </c>
      <c r="K175" s="59" t="s">
        <v>2327</v>
      </c>
      <c r="L175" s="59" t="s">
        <v>1270</v>
      </c>
      <c r="M175" s="59" t="s">
        <v>1967</v>
      </c>
      <c r="N175" s="59" t="s">
        <v>1967</v>
      </c>
      <c r="O175" s="59" t="s">
        <v>1967</v>
      </c>
      <c r="P175" s="59" t="b">
        <f>List129[[#This Row],[Income2018]]=List129[[#This Row],[Income]]</f>
        <v>1</v>
      </c>
      <c r="Q175" s="59" t="s">
        <v>2328</v>
      </c>
      <c r="R175" s="59" t="s">
        <v>240</v>
      </c>
      <c r="T175" s="59" t="s">
        <v>240</v>
      </c>
      <c r="U175" s="59" t="s">
        <v>240</v>
      </c>
      <c r="V175" s="59" t="s">
        <v>1886</v>
      </c>
      <c r="W175" s="60" t="s">
        <v>1886</v>
      </c>
      <c r="X175" s="60" t="s">
        <v>1886</v>
      </c>
      <c r="Y175" s="60">
        <v>1</v>
      </c>
      <c r="Z175" s="61">
        <f>IF(OR(List129[[#This Row],[Fragile 2018]]=1,List129[[#This Row],[Income]]="LDC"),1,"")</f>
        <v>1</v>
      </c>
      <c r="AA175" s="59" t="s">
        <v>1886</v>
      </c>
      <c r="AB175" s="59" t="s">
        <v>1886</v>
      </c>
      <c r="AC175" s="59" t="s">
        <v>240</v>
      </c>
      <c r="AD175" s="59" t="s">
        <v>240</v>
      </c>
      <c r="AE175" s="59" t="s">
        <v>240</v>
      </c>
      <c r="AF175" s="59" t="s">
        <v>1886</v>
      </c>
      <c r="AG175" s="59" t="s">
        <v>240</v>
      </c>
      <c r="AH175" s="59" t="s">
        <v>1886</v>
      </c>
      <c r="AI175" s="59" t="s">
        <v>240</v>
      </c>
      <c r="AJ175" s="59" t="s">
        <v>240</v>
      </c>
      <c r="AK175" s="59" t="s">
        <v>240</v>
      </c>
      <c r="AL175" s="59" t="s">
        <v>240</v>
      </c>
      <c r="AM175" s="59">
        <v>174</v>
      </c>
      <c r="AN175" s="59" t="s">
        <v>1748</v>
      </c>
    </row>
    <row r="176" spans="1:40" x14ac:dyDescent="0.2">
      <c r="A176" s="59">
        <v>323</v>
      </c>
      <c r="B176" s="59">
        <v>285</v>
      </c>
      <c r="C176" s="59" t="s">
        <v>1726</v>
      </c>
      <c r="D176" s="59" t="s">
        <v>1727</v>
      </c>
      <c r="E176" s="59" t="s">
        <v>1335</v>
      </c>
      <c r="F176" s="59" t="s">
        <v>1728</v>
      </c>
      <c r="G176" s="59" t="s">
        <v>2329</v>
      </c>
      <c r="H176" s="59" t="s">
        <v>1726</v>
      </c>
      <c r="I176" s="59">
        <v>289</v>
      </c>
      <c r="J176" s="59">
        <v>285</v>
      </c>
      <c r="K176" s="59" t="s">
        <v>1728</v>
      </c>
      <c r="L176" s="59" t="s">
        <v>1270</v>
      </c>
      <c r="M176" s="59" t="s">
        <v>1888</v>
      </c>
      <c r="N176" s="59" t="s">
        <v>1888</v>
      </c>
      <c r="O176" s="59" t="s">
        <v>1888</v>
      </c>
      <c r="P176" s="59" t="b">
        <f>List129[[#This Row],[Income2018]]=List129[[#This Row],[Income]]</f>
        <v>1</v>
      </c>
      <c r="Q176" s="59" t="s">
        <v>2330</v>
      </c>
      <c r="R176" s="59" t="s">
        <v>1886</v>
      </c>
      <c r="S176" s="59" t="s">
        <v>1728</v>
      </c>
      <c r="T176" s="59" t="s">
        <v>1886</v>
      </c>
      <c r="U176" s="59" t="s">
        <v>240</v>
      </c>
      <c r="V176" s="59" t="s">
        <v>1886</v>
      </c>
      <c r="W176" s="60" t="s">
        <v>1886</v>
      </c>
      <c r="X176" s="60" t="s">
        <v>1886</v>
      </c>
      <c r="Y176" s="60">
        <v>1</v>
      </c>
      <c r="Z176" s="61">
        <f>IF(OR(List129[[#This Row],[Fragile 2018]]=1,List129[[#This Row],[Income]]="LDC"),1,"")</f>
        <v>1</v>
      </c>
      <c r="AA176" s="59" t="s">
        <v>1886</v>
      </c>
      <c r="AB176" s="59" t="s">
        <v>1886</v>
      </c>
      <c r="AC176" s="59" t="s">
        <v>1886</v>
      </c>
      <c r="AD176" s="59" t="s">
        <v>240</v>
      </c>
      <c r="AE176" s="59" t="s">
        <v>240</v>
      </c>
      <c r="AF176" s="59" t="s">
        <v>1886</v>
      </c>
      <c r="AG176" s="59" t="s">
        <v>240</v>
      </c>
      <c r="AH176" s="59" t="s">
        <v>1886</v>
      </c>
      <c r="AI176" s="59" t="s">
        <v>240</v>
      </c>
      <c r="AJ176" s="59" t="s">
        <v>240</v>
      </c>
      <c r="AK176" s="59" t="s">
        <v>240</v>
      </c>
      <c r="AL176" s="59" t="s">
        <v>240</v>
      </c>
      <c r="AM176" s="59">
        <v>172</v>
      </c>
      <c r="AN176" s="59" t="s">
        <v>1726</v>
      </c>
    </row>
    <row r="177" spans="1:40" x14ac:dyDescent="0.2">
      <c r="B177" s="64">
        <v>279</v>
      </c>
      <c r="C177" s="64" t="s">
        <v>2331</v>
      </c>
      <c r="D177" s="64"/>
      <c r="E177" s="64" t="s">
        <v>2332</v>
      </c>
      <c r="F177" s="59" t="s">
        <v>2333</v>
      </c>
      <c r="G177" s="59" t="s">
        <v>1758</v>
      </c>
      <c r="I177" s="59">
        <v>289</v>
      </c>
      <c r="J177" s="64">
        <v>279</v>
      </c>
      <c r="K177" s="59" t="s">
        <v>2333</v>
      </c>
      <c r="L177" s="64" t="s">
        <v>1270</v>
      </c>
      <c r="M177" s="64" t="s">
        <v>1888</v>
      </c>
      <c r="N177" s="64" t="s">
        <v>1888</v>
      </c>
      <c r="O177" s="64" t="s">
        <v>1888</v>
      </c>
      <c r="P177" s="64" t="b">
        <f>List129[[#This Row],[Income2018]]=List129[[#This Row],[Income]]</f>
        <v>1</v>
      </c>
      <c r="Q177" s="64" t="s">
        <v>2332</v>
      </c>
      <c r="R177" s="64" t="s">
        <v>240</v>
      </c>
      <c r="S177" s="64"/>
      <c r="T177" s="64" t="s">
        <v>1886</v>
      </c>
      <c r="U177" s="59" t="s">
        <v>240</v>
      </c>
      <c r="V177" s="59" t="s">
        <v>1886</v>
      </c>
      <c r="W177" s="59" t="s">
        <v>1886</v>
      </c>
      <c r="X177" s="59" t="s">
        <v>1886</v>
      </c>
      <c r="Y177" s="59">
        <v>1</v>
      </c>
      <c r="Z177" s="61">
        <f>IF(OR(List129[[#This Row],[Fragile 2018]]=1,List129[[#This Row],[Income]]="LDC"),1,"")</f>
        <v>1</v>
      </c>
      <c r="AA177" s="59" t="s">
        <v>1886</v>
      </c>
      <c r="AB177" s="64" t="s">
        <v>1886</v>
      </c>
      <c r="AC177" s="62" t="s">
        <v>240</v>
      </c>
      <c r="AD177" s="64" t="s">
        <v>240</v>
      </c>
      <c r="AE177" s="64" t="s">
        <v>240</v>
      </c>
      <c r="AF177" s="64" t="s">
        <v>1886</v>
      </c>
      <c r="AG177" s="64" t="s">
        <v>240</v>
      </c>
      <c r="AH177" s="64" t="s">
        <v>1886</v>
      </c>
      <c r="AI177" s="64" t="s">
        <v>240</v>
      </c>
      <c r="AJ177" s="64" t="s">
        <v>240</v>
      </c>
      <c r="AK177" s="64" t="s">
        <v>240</v>
      </c>
      <c r="AL177" s="64" t="s">
        <v>240</v>
      </c>
      <c r="AN177" s="59" t="s">
        <v>2331</v>
      </c>
    </row>
    <row r="178" spans="1:40" x14ac:dyDescent="0.2">
      <c r="A178" s="59">
        <v>102</v>
      </c>
      <c r="B178" s="56"/>
      <c r="C178" s="59" t="s">
        <v>2334</v>
      </c>
      <c r="D178" s="59" t="s">
        <v>2335</v>
      </c>
      <c r="E178" s="59" t="s">
        <v>2334</v>
      </c>
      <c r="F178" s="59" t="s">
        <v>2336</v>
      </c>
      <c r="G178" s="59" t="s">
        <v>944</v>
      </c>
      <c r="K178" s="59" t="s">
        <v>2337</v>
      </c>
      <c r="O178" s="59" t="s">
        <v>2201</v>
      </c>
      <c r="P178" s="59" t="b">
        <f>List129[[#This Row],[Income2018]]=List129[[#This Row],[Income]]</f>
        <v>1</v>
      </c>
      <c r="Q178" s="59" t="s">
        <v>2201</v>
      </c>
      <c r="R178" s="59" t="s">
        <v>240</v>
      </c>
      <c r="S178" s="59" t="e">
        <f>VLOOKUP(List129[[#This Row],[Afkorting]],$AF$288:$AF$307,1,FALSE)</f>
        <v>#N/A</v>
      </c>
      <c r="T178" s="59" t="s">
        <v>240</v>
      </c>
      <c r="U178" s="59" t="s">
        <v>240</v>
      </c>
      <c r="V178" s="59" t="s">
        <v>240</v>
      </c>
      <c r="W178" s="59" t="s">
        <v>240</v>
      </c>
      <c r="X178" s="59" t="s">
        <v>240</v>
      </c>
      <c r="Y178" s="59" t="e">
        <v>#N/A</v>
      </c>
      <c r="Z178" s="61" t="e">
        <f>IF(OR(List129[[#This Row],[Fragile 2018]]=1,List129[[#This Row],[Income]]="LDC"),1,"")</f>
        <v>#N/A</v>
      </c>
      <c r="AA178" s="59" t="s">
        <v>240</v>
      </c>
      <c r="AB178" s="59" t="s">
        <v>240</v>
      </c>
      <c r="AC178" s="59" t="s">
        <v>240</v>
      </c>
      <c r="AD178" s="59" t="s">
        <v>240</v>
      </c>
      <c r="AE178" s="59" t="s">
        <v>240</v>
      </c>
      <c r="AF178" s="59" t="s">
        <v>240</v>
      </c>
      <c r="AG178" s="59" t="s">
        <v>240</v>
      </c>
      <c r="AH178" s="59" t="s">
        <v>240</v>
      </c>
      <c r="AI178" s="59" t="s">
        <v>240</v>
      </c>
      <c r="AJ178" s="59" t="s">
        <v>240</v>
      </c>
      <c r="AK178" s="59" t="s">
        <v>240</v>
      </c>
      <c r="AL178" s="59" t="s">
        <v>240</v>
      </c>
      <c r="AN178" s="59" t="s">
        <v>2334</v>
      </c>
    </row>
    <row r="179" spans="1:40" x14ac:dyDescent="0.2">
      <c r="A179" s="59">
        <v>484</v>
      </c>
      <c r="C179" s="59" t="s">
        <v>2338</v>
      </c>
      <c r="D179" s="59" t="s">
        <v>2338</v>
      </c>
      <c r="E179" s="59" t="s">
        <v>2338</v>
      </c>
      <c r="F179" s="59" t="s">
        <v>2339</v>
      </c>
      <c r="G179" s="59" t="s">
        <v>2340</v>
      </c>
      <c r="K179" s="59" t="s">
        <v>2341</v>
      </c>
      <c r="O179" s="59" t="s">
        <v>2201</v>
      </c>
      <c r="P179" s="59" t="b">
        <f>List129[[#This Row],[Income2018]]=List129[[#This Row],[Income]]</f>
        <v>1</v>
      </c>
      <c r="Q179" s="59" t="s">
        <v>2201</v>
      </c>
      <c r="R179" s="59" t="s">
        <v>240</v>
      </c>
      <c r="S179" s="59" t="e">
        <f>VLOOKUP(List129[[#This Row],[Afkorting]],$AF$288:$AF$307,1,FALSE)</f>
        <v>#N/A</v>
      </c>
      <c r="T179" s="59" t="s">
        <v>240</v>
      </c>
      <c r="U179" s="59" t="s">
        <v>1886</v>
      </c>
      <c r="V179" s="59" t="s">
        <v>240</v>
      </c>
      <c r="W179" s="59" t="s">
        <v>240</v>
      </c>
      <c r="X179" s="59" t="s">
        <v>240</v>
      </c>
      <c r="Y179" s="59" t="e">
        <v>#N/A</v>
      </c>
      <c r="Z179" s="61" t="e">
        <f>IF(OR(List129[[#This Row],[Fragile 2018]]=1,List129[[#This Row],[Income]]="LDC"),1,"")</f>
        <v>#N/A</v>
      </c>
      <c r="AA179" s="59" t="s">
        <v>240</v>
      </c>
      <c r="AB179" s="59" t="s">
        <v>240</v>
      </c>
      <c r="AC179" s="59" t="s">
        <v>240</v>
      </c>
      <c r="AD179" s="59" t="s">
        <v>240</v>
      </c>
      <c r="AE179" s="59" t="s">
        <v>240</v>
      </c>
      <c r="AF179" s="59" t="s">
        <v>240</v>
      </c>
      <c r="AG179" s="59" t="s">
        <v>240</v>
      </c>
      <c r="AH179" s="59" t="s">
        <v>240</v>
      </c>
      <c r="AI179" s="59" t="s">
        <v>240</v>
      </c>
      <c r="AJ179" s="59" t="s">
        <v>240</v>
      </c>
      <c r="AK179" s="59" t="s">
        <v>240</v>
      </c>
      <c r="AL179" s="59" t="s">
        <v>240</v>
      </c>
      <c r="AN179" s="59" t="s">
        <v>2338</v>
      </c>
    </row>
    <row r="180" spans="1:40" x14ac:dyDescent="0.2">
      <c r="A180" s="59">
        <v>425</v>
      </c>
      <c r="C180" s="59" t="s">
        <v>2342</v>
      </c>
      <c r="D180" s="59" t="s">
        <v>2343</v>
      </c>
      <c r="E180" s="59" t="s">
        <v>2343</v>
      </c>
      <c r="F180" s="59" t="s">
        <v>2344</v>
      </c>
      <c r="G180" s="59" t="s">
        <v>2345</v>
      </c>
      <c r="K180" s="59" t="s">
        <v>2346</v>
      </c>
      <c r="O180" s="59" t="s">
        <v>2201</v>
      </c>
      <c r="P180" s="59" t="b">
        <f>List129[[#This Row],[Income2018]]=List129[[#This Row],[Income]]</f>
        <v>1</v>
      </c>
      <c r="Q180" s="59" t="s">
        <v>2201</v>
      </c>
      <c r="R180" s="59" t="s">
        <v>240</v>
      </c>
      <c r="S180" s="59" t="e">
        <f>VLOOKUP(List129[[#This Row],[Afkorting]],$AF$288:$AF$307,1,FALSE)</f>
        <v>#N/A</v>
      </c>
      <c r="T180" s="59" t="s">
        <v>240</v>
      </c>
      <c r="U180" s="59" t="s">
        <v>1886</v>
      </c>
      <c r="V180" s="59" t="s">
        <v>240</v>
      </c>
      <c r="W180" s="59" t="s">
        <v>240</v>
      </c>
      <c r="X180" s="59" t="s">
        <v>240</v>
      </c>
      <c r="Y180" s="59" t="e">
        <v>#N/A</v>
      </c>
      <c r="Z180" s="61" t="e">
        <f>IF(OR(List129[[#This Row],[Fragile 2018]]=1,List129[[#This Row],[Income]]="LDC"),1,"")</f>
        <v>#N/A</v>
      </c>
      <c r="AA180" s="59" t="s">
        <v>1886</v>
      </c>
      <c r="AB180" s="59" t="s">
        <v>240</v>
      </c>
      <c r="AC180" s="59" t="s">
        <v>240</v>
      </c>
      <c r="AD180" s="59" t="s">
        <v>240</v>
      </c>
      <c r="AE180" s="59" t="s">
        <v>240</v>
      </c>
      <c r="AF180" s="59" t="s">
        <v>240</v>
      </c>
      <c r="AG180" s="59" t="s">
        <v>240</v>
      </c>
      <c r="AH180" s="59" t="s">
        <v>240</v>
      </c>
      <c r="AI180" s="59" t="s">
        <v>240</v>
      </c>
      <c r="AJ180" s="59" t="s">
        <v>240</v>
      </c>
      <c r="AK180" s="59" t="s">
        <v>240</v>
      </c>
      <c r="AL180" s="59" t="s">
        <v>240</v>
      </c>
      <c r="AN180" s="59" t="s">
        <v>2342</v>
      </c>
    </row>
    <row r="181" spans="1:40" x14ac:dyDescent="0.2">
      <c r="A181" s="59">
        <v>268</v>
      </c>
      <c r="C181" s="59" t="s">
        <v>2347</v>
      </c>
      <c r="D181" s="59" t="s">
        <v>2347</v>
      </c>
      <c r="E181" s="59" t="s">
        <v>2348</v>
      </c>
      <c r="F181" s="59" t="s">
        <v>2349</v>
      </c>
      <c r="G181" s="59" t="s">
        <v>2350</v>
      </c>
      <c r="J181" s="59">
        <v>530</v>
      </c>
      <c r="K181" s="59" t="s">
        <v>2351</v>
      </c>
      <c r="O181" s="59" t="s">
        <v>1901</v>
      </c>
      <c r="P181" s="59" t="b">
        <f>List129[[#This Row],[Income2018]]=List129[[#This Row],[Income]]</f>
        <v>1</v>
      </c>
      <c r="Q181" s="59" t="s">
        <v>2352</v>
      </c>
      <c r="R181" s="59" t="s">
        <v>240</v>
      </c>
      <c r="S181" s="59" t="e">
        <f>VLOOKUP(List129[[#This Row],[Afkorting]],$AF$288:$AF$307,1,FALSE)</f>
        <v>#N/A</v>
      </c>
      <c r="T181" s="59" t="s">
        <v>240</v>
      </c>
      <c r="U181" s="59" t="s">
        <v>240</v>
      </c>
      <c r="V181" s="59" t="s">
        <v>240</v>
      </c>
      <c r="W181" s="59" t="s">
        <v>240</v>
      </c>
      <c r="X181" s="59" t="s">
        <v>240</v>
      </c>
      <c r="Y181" s="59" t="e">
        <v>#N/A</v>
      </c>
      <c r="Z181" s="61" t="e">
        <f>IF(OR(List129[[#This Row],[Fragile 2018]]=1,List129[[#This Row],[Income]]="LDC"),1,"")</f>
        <v>#N/A</v>
      </c>
      <c r="AA181" s="59" t="s">
        <v>240</v>
      </c>
      <c r="AB181" s="59" t="s">
        <v>240</v>
      </c>
      <c r="AC181" s="59" t="s">
        <v>240</v>
      </c>
      <c r="AD181" s="59" t="s">
        <v>240</v>
      </c>
      <c r="AE181" s="59" t="s">
        <v>240</v>
      </c>
      <c r="AF181" s="59" t="s">
        <v>240</v>
      </c>
      <c r="AG181" s="59" t="s">
        <v>240</v>
      </c>
      <c r="AH181" s="59" t="s">
        <v>240</v>
      </c>
      <c r="AI181" s="59" t="s">
        <v>240</v>
      </c>
      <c r="AJ181" s="59" t="s">
        <v>240</v>
      </c>
      <c r="AK181" s="59" t="s">
        <v>240</v>
      </c>
      <c r="AL181" s="59" t="s">
        <v>240</v>
      </c>
      <c r="AN181" s="59" t="s">
        <v>2347</v>
      </c>
    </row>
    <row r="182" spans="1:40" x14ac:dyDescent="0.2">
      <c r="A182" s="59">
        <v>485</v>
      </c>
      <c r="C182" s="59" t="s">
        <v>2353</v>
      </c>
      <c r="D182" s="59" t="s">
        <v>2354</v>
      </c>
      <c r="E182" s="59" t="s">
        <v>2353</v>
      </c>
      <c r="F182" s="59" t="s">
        <v>2355</v>
      </c>
      <c r="G182" s="59" t="s">
        <v>2356</v>
      </c>
      <c r="K182" s="59" t="s">
        <v>2357</v>
      </c>
      <c r="O182" s="59" t="s">
        <v>2201</v>
      </c>
      <c r="P182" s="59" t="b">
        <f>List129[[#This Row],[Income2018]]=List129[[#This Row],[Income]]</f>
        <v>1</v>
      </c>
      <c r="Q182" s="59" t="s">
        <v>2201</v>
      </c>
      <c r="R182" s="59" t="s">
        <v>240</v>
      </c>
      <c r="S182" s="59" t="e">
        <f>VLOOKUP(List129[[#This Row],[Afkorting]],$AF$288:$AF$307,1,FALSE)</f>
        <v>#N/A</v>
      </c>
      <c r="T182" s="59" t="s">
        <v>240</v>
      </c>
      <c r="U182" s="59" t="s">
        <v>240</v>
      </c>
      <c r="V182" s="59" t="s">
        <v>240</v>
      </c>
      <c r="W182" s="59" t="s">
        <v>240</v>
      </c>
      <c r="X182" s="59" t="s">
        <v>240</v>
      </c>
      <c r="Y182" s="59" t="e">
        <v>#N/A</v>
      </c>
      <c r="Z182" s="61" t="e">
        <f>IF(OR(List129[[#This Row],[Fragile 2018]]=1,List129[[#This Row],[Income]]="LDC"),1,"")</f>
        <v>#N/A</v>
      </c>
      <c r="AA182" s="59" t="s">
        <v>240</v>
      </c>
      <c r="AB182" s="59" t="s">
        <v>240</v>
      </c>
      <c r="AC182" s="59" t="s">
        <v>240</v>
      </c>
      <c r="AD182" s="59" t="s">
        <v>240</v>
      </c>
      <c r="AE182" s="59" t="s">
        <v>240</v>
      </c>
      <c r="AF182" s="59" t="s">
        <v>240</v>
      </c>
      <c r="AG182" s="59" t="s">
        <v>240</v>
      </c>
      <c r="AH182" s="59" t="s">
        <v>240</v>
      </c>
      <c r="AI182" s="59" t="s">
        <v>240</v>
      </c>
      <c r="AJ182" s="59" t="s">
        <v>240</v>
      </c>
      <c r="AK182" s="59" t="s">
        <v>240</v>
      </c>
      <c r="AL182" s="59" t="s">
        <v>240</v>
      </c>
      <c r="AN182" s="59" t="s">
        <v>2353</v>
      </c>
    </row>
    <row r="183" spans="1:40" x14ac:dyDescent="0.2">
      <c r="A183" s="59">
        <v>224</v>
      </c>
      <c r="C183" s="59" t="s">
        <v>2358</v>
      </c>
      <c r="D183" s="59" t="s">
        <v>2358</v>
      </c>
      <c r="E183" s="59" t="s">
        <v>2358</v>
      </c>
      <c r="F183" s="59" t="s">
        <v>2359</v>
      </c>
      <c r="K183" s="59" t="s">
        <v>2360</v>
      </c>
      <c r="O183" s="59" t="s">
        <v>2201</v>
      </c>
      <c r="P183" s="59" t="b">
        <f>List129[[#This Row],[Income2018]]=List129[[#This Row],[Income]]</f>
        <v>1</v>
      </c>
      <c r="Q183" s="59" t="s">
        <v>2201</v>
      </c>
      <c r="R183" s="59" t="s">
        <v>240</v>
      </c>
      <c r="S183" s="59" t="e">
        <f>VLOOKUP(List129[[#This Row],[Afkorting]],$AF$288:$AF$307,1,FALSE)</f>
        <v>#N/A</v>
      </c>
      <c r="T183" s="59" t="s">
        <v>240</v>
      </c>
      <c r="U183" s="59" t="s">
        <v>240</v>
      </c>
      <c r="V183" s="59" t="s">
        <v>240</v>
      </c>
      <c r="W183" s="59" t="s">
        <v>240</v>
      </c>
      <c r="X183" s="59" t="s">
        <v>240</v>
      </c>
      <c r="Y183" s="59" t="e">
        <v>#N/A</v>
      </c>
      <c r="Z183" s="61" t="e">
        <f>IF(OR(List129[[#This Row],[Fragile 2018]]=1,List129[[#This Row],[Income]]="LDC"),1,"")</f>
        <v>#N/A</v>
      </c>
      <c r="AA183" s="59" t="s">
        <v>240</v>
      </c>
      <c r="AB183" s="59" t="s">
        <v>240</v>
      </c>
      <c r="AC183" s="59" t="s">
        <v>240</v>
      </c>
      <c r="AD183" s="59" t="s">
        <v>240</v>
      </c>
      <c r="AE183" s="59" t="s">
        <v>240</v>
      </c>
      <c r="AF183" s="59" t="s">
        <v>240</v>
      </c>
      <c r="AG183" s="59" t="s">
        <v>240</v>
      </c>
      <c r="AH183" s="59" t="s">
        <v>240</v>
      </c>
      <c r="AI183" s="59" t="s">
        <v>240</v>
      </c>
      <c r="AJ183" s="59" t="s">
        <v>240</v>
      </c>
      <c r="AK183" s="59" t="s">
        <v>240</v>
      </c>
      <c r="AL183" s="59" t="s">
        <v>240</v>
      </c>
      <c r="AN183" s="59" t="s">
        <v>2358</v>
      </c>
    </row>
    <row r="184" spans="1:40" x14ac:dyDescent="0.2">
      <c r="A184" s="59">
        <v>106</v>
      </c>
      <c r="C184" s="59" t="s">
        <v>2361</v>
      </c>
      <c r="D184" s="59" t="s">
        <v>2362</v>
      </c>
      <c r="E184" s="59" t="s">
        <v>2363</v>
      </c>
      <c r="F184" s="59" t="s">
        <v>2364</v>
      </c>
      <c r="G184" s="59" t="s">
        <v>2365</v>
      </c>
      <c r="J184" s="59">
        <v>72</v>
      </c>
      <c r="K184" s="59" t="s">
        <v>2366</v>
      </c>
      <c r="O184" s="59" t="s">
        <v>2201</v>
      </c>
      <c r="P184" s="59" t="b">
        <f>List129[[#This Row],[Income2018]]=List129[[#This Row],[Income]]</f>
        <v>1</v>
      </c>
      <c r="Q184" s="59" t="s">
        <v>2201</v>
      </c>
      <c r="R184" s="59" t="s">
        <v>240</v>
      </c>
      <c r="S184" s="59" t="e">
        <f>VLOOKUP(List129[[#This Row],[Afkorting]],$AF$288:$AF$307,1,FALSE)</f>
        <v>#N/A</v>
      </c>
      <c r="T184" s="59" t="s">
        <v>240</v>
      </c>
      <c r="U184" s="59" t="s">
        <v>240</v>
      </c>
      <c r="V184" s="59" t="s">
        <v>240</v>
      </c>
      <c r="W184" s="59" t="s">
        <v>240</v>
      </c>
      <c r="X184" s="59" t="s">
        <v>240</v>
      </c>
      <c r="Y184" s="59" t="e">
        <v>#N/A</v>
      </c>
      <c r="Z184" s="61" t="e">
        <f>IF(OR(List129[[#This Row],[Fragile 2018]]=1,List129[[#This Row],[Income]]="LDC"),1,"")</f>
        <v>#N/A</v>
      </c>
      <c r="AA184" s="59" t="s">
        <v>240</v>
      </c>
      <c r="AB184" s="59" t="s">
        <v>240</v>
      </c>
      <c r="AC184" s="59" t="s">
        <v>240</v>
      </c>
      <c r="AD184" s="59" t="s">
        <v>240</v>
      </c>
      <c r="AE184" s="59" t="s">
        <v>240</v>
      </c>
      <c r="AF184" s="59" t="s">
        <v>240</v>
      </c>
      <c r="AG184" s="59" t="s">
        <v>240</v>
      </c>
      <c r="AH184" s="59" t="s">
        <v>240</v>
      </c>
      <c r="AI184" s="59" t="s">
        <v>240</v>
      </c>
      <c r="AJ184" s="59" t="s">
        <v>240</v>
      </c>
      <c r="AK184" s="59" t="s">
        <v>240</v>
      </c>
      <c r="AL184" s="59" t="s">
        <v>240</v>
      </c>
      <c r="AN184" s="59" t="s">
        <v>2361</v>
      </c>
    </row>
    <row r="185" spans="1:40" x14ac:dyDescent="0.2">
      <c r="A185" s="59">
        <v>107</v>
      </c>
      <c r="C185" s="59" t="s">
        <v>2367</v>
      </c>
      <c r="D185" s="59" t="s">
        <v>2368</v>
      </c>
      <c r="E185" s="59" t="s">
        <v>2367</v>
      </c>
      <c r="F185" s="59" t="s">
        <v>2369</v>
      </c>
      <c r="G185" s="59" t="s">
        <v>2370</v>
      </c>
      <c r="J185" s="59">
        <v>30</v>
      </c>
      <c r="K185" s="59" t="s">
        <v>2369</v>
      </c>
      <c r="O185" s="59" t="s">
        <v>1901</v>
      </c>
      <c r="P185" s="59" t="b">
        <f>List129[[#This Row],[Income2018]]=List129[[#This Row],[Income]]</f>
        <v>1</v>
      </c>
      <c r="Q185" s="59" t="s">
        <v>2371</v>
      </c>
      <c r="R185" s="59" t="s">
        <v>240</v>
      </c>
      <c r="S185" s="59" t="e">
        <f>VLOOKUP(List129[[#This Row],[Afkorting]],$AF$288:$AF$307,1,FALSE)</f>
        <v>#N/A</v>
      </c>
      <c r="T185" s="59" t="s">
        <v>240</v>
      </c>
      <c r="U185" s="59" t="s">
        <v>240</v>
      </c>
      <c r="V185" s="59" t="s">
        <v>240</v>
      </c>
      <c r="W185" s="59" t="s">
        <v>240</v>
      </c>
      <c r="X185" s="59" t="s">
        <v>240</v>
      </c>
      <c r="Y185" s="59" t="e">
        <v>#N/A</v>
      </c>
      <c r="Z185" s="61" t="e">
        <f>IF(OR(List129[[#This Row],[Fragile 2018]]=1,List129[[#This Row],[Income]]="LDC"),1,"")</f>
        <v>#N/A</v>
      </c>
      <c r="AA185" s="59" t="s">
        <v>240</v>
      </c>
      <c r="AB185" s="59" t="s">
        <v>240</v>
      </c>
      <c r="AC185" s="59" t="s">
        <v>240</v>
      </c>
      <c r="AD185" s="59" t="s">
        <v>240</v>
      </c>
      <c r="AE185" s="59" t="s">
        <v>240</v>
      </c>
      <c r="AF185" s="59" t="s">
        <v>240</v>
      </c>
      <c r="AG185" s="59" t="s">
        <v>240</v>
      </c>
      <c r="AH185" s="59" t="s">
        <v>240</v>
      </c>
      <c r="AI185" s="59" t="s">
        <v>240</v>
      </c>
      <c r="AJ185" s="59" t="s">
        <v>240</v>
      </c>
      <c r="AK185" s="59" t="s">
        <v>240</v>
      </c>
      <c r="AL185" s="59" t="s">
        <v>240</v>
      </c>
      <c r="AN185" s="59" t="s">
        <v>2367</v>
      </c>
    </row>
    <row r="186" spans="1:40" x14ac:dyDescent="0.2">
      <c r="A186" s="59">
        <v>108</v>
      </c>
      <c r="C186" s="59" t="s">
        <v>2372</v>
      </c>
      <c r="D186" s="59" t="s">
        <v>2373</v>
      </c>
      <c r="E186" s="59" t="s">
        <v>2374</v>
      </c>
      <c r="F186" s="59" t="s">
        <v>2375</v>
      </c>
      <c r="G186" s="59" t="s">
        <v>2376</v>
      </c>
      <c r="K186" s="59" t="s">
        <v>2377</v>
      </c>
      <c r="O186" s="59" t="s">
        <v>2201</v>
      </c>
      <c r="P186" s="59" t="b">
        <f>List129[[#This Row],[Income2018]]=List129[[#This Row],[Income]]</f>
        <v>1</v>
      </c>
      <c r="Q186" s="59" t="s">
        <v>2201</v>
      </c>
      <c r="R186" s="59" t="s">
        <v>240</v>
      </c>
      <c r="S186" s="59" t="e">
        <f>VLOOKUP(List129[[#This Row],[Afkorting]],$AF$288:$AF$307,1,FALSE)</f>
        <v>#N/A</v>
      </c>
      <c r="T186" s="59" t="s">
        <v>240</v>
      </c>
      <c r="U186" s="59" t="s">
        <v>240</v>
      </c>
      <c r="V186" s="59" t="s">
        <v>240</v>
      </c>
      <c r="W186" s="59" t="s">
        <v>240</v>
      </c>
      <c r="X186" s="59" t="s">
        <v>240</v>
      </c>
      <c r="Y186" s="59" t="e">
        <v>#N/A</v>
      </c>
      <c r="Z186" s="61" t="e">
        <f>IF(OR(List129[[#This Row],[Fragile 2018]]=1,List129[[#This Row],[Income]]="LDC"),1,"")</f>
        <v>#N/A</v>
      </c>
      <c r="AA186" s="59" t="s">
        <v>240</v>
      </c>
      <c r="AB186" s="59" t="s">
        <v>240</v>
      </c>
      <c r="AC186" s="59" t="s">
        <v>240</v>
      </c>
      <c r="AD186" s="59" t="s">
        <v>240</v>
      </c>
      <c r="AE186" s="59" t="s">
        <v>240</v>
      </c>
      <c r="AF186" s="59" t="s">
        <v>240</v>
      </c>
      <c r="AG186" s="59" t="s">
        <v>240</v>
      </c>
      <c r="AH186" s="59" t="s">
        <v>240</v>
      </c>
      <c r="AI186" s="59" t="s">
        <v>240</v>
      </c>
      <c r="AJ186" s="59" t="s">
        <v>240</v>
      </c>
      <c r="AK186" s="59" t="s">
        <v>240</v>
      </c>
      <c r="AL186" s="59" t="s">
        <v>240</v>
      </c>
      <c r="AN186" s="59" t="s">
        <v>2372</v>
      </c>
    </row>
    <row r="187" spans="1:40" x14ac:dyDescent="0.2">
      <c r="A187" s="59">
        <v>103</v>
      </c>
      <c r="C187" s="59" t="s">
        <v>2378</v>
      </c>
      <c r="D187" s="59" t="s">
        <v>2379</v>
      </c>
      <c r="E187" s="59" t="s">
        <v>2380</v>
      </c>
      <c r="F187" s="59" t="s">
        <v>2381</v>
      </c>
      <c r="G187" s="59" t="s">
        <v>2382</v>
      </c>
      <c r="K187" s="59" t="s">
        <v>2383</v>
      </c>
      <c r="O187" s="59" t="s">
        <v>2201</v>
      </c>
      <c r="P187" s="59" t="b">
        <f>List129[[#This Row],[Income2018]]=List129[[#This Row],[Income]]</f>
        <v>1</v>
      </c>
      <c r="Q187" s="59" t="s">
        <v>2201</v>
      </c>
      <c r="R187" s="59" t="s">
        <v>240</v>
      </c>
      <c r="S187" s="59" t="e">
        <f>VLOOKUP(List129[[#This Row],[Afkorting]],$AF$288:$AF$307,1,FALSE)</f>
        <v>#N/A</v>
      </c>
      <c r="T187" s="59" t="s">
        <v>240</v>
      </c>
      <c r="U187" s="59" t="s">
        <v>240</v>
      </c>
      <c r="V187" s="59" t="s">
        <v>240</v>
      </c>
      <c r="W187" s="59" t="s">
        <v>240</v>
      </c>
      <c r="X187" s="59" t="s">
        <v>240</v>
      </c>
      <c r="Y187" s="59" t="e">
        <v>#N/A</v>
      </c>
      <c r="Z187" s="61" t="e">
        <f>IF(OR(List129[[#This Row],[Fragile 2018]]=1,List129[[#This Row],[Income]]="LDC"),1,"")</f>
        <v>#N/A</v>
      </c>
      <c r="AA187" s="59" t="s">
        <v>240</v>
      </c>
      <c r="AB187" s="59" t="s">
        <v>240</v>
      </c>
      <c r="AC187" s="59" t="s">
        <v>240</v>
      </c>
      <c r="AD187" s="59" t="s">
        <v>240</v>
      </c>
      <c r="AE187" s="59" t="s">
        <v>240</v>
      </c>
      <c r="AF187" s="59" t="s">
        <v>240</v>
      </c>
      <c r="AG187" s="59" t="s">
        <v>240</v>
      </c>
      <c r="AH187" s="59" t="s">
        <v>240</v>
      </c>
      <c r="AI187" s="59" t="s">
        <v>240</v>
      </c>
      <c r="AJ187" s="59" t="s">
        <v>240</v>
      </c>
      <c r="AK187" s="59" t="s">
        <v>240</v>
      </c>
      <c r="AL187" s="59" t="s">
        <v>240</v>
      </c>
      <c r="AN187" s="59" t="s">
        <v>2378</v>
      </c>
    </row>
    <row r="188" spans="1:40" x14ac:dyDescent="0.2">
      <c r="A188" s="59">
        <v>580</v>
      </c>
      <c r="C188" s="59" t="s">
        <v>2384</v>
      </c>
      <c r="D188" s="59" t="s">
        <v>2385</v>
      </c>
      <c r="E188" s="59" t="s">
        <v>2386</v>
      </c>
      <c r="F188" s="59" t="s">
        <v>2387</v>
      </c>
      <c r="K188" s="59" t="s">
        <v>2388</v>
      </c>
      <c r="O188" s="59" t="s">
        <v>2201</v>
      </c>
      <c r="P188" s="59" t="b">
        <f>List129[[#This Row],[Income2018]]=List129[[#This Row],[Income]]</f>
        <v>1</v>
      </c>
      <c r="Q188" s="59" t="s">
        <v>2201</v>
      </c>
      <c r="R188" s="59" t="s">
        <v>240</v>
      </c>
      <c r="S188" s="59" t="e">
        <f>VLOOKUP(List129[[#This Row],[Afkorting]],$AF$288:$AF$307,1,FALSE)</f>
        <v>#N/A</v>
      </c>
      <c r="T188" s="59" t="s">
        <v>240</v>
      </c>
      <c r="U188" s="59" t="s">
        <v>240</v>
      </c>
      <c r="V188" s="59" t="s">
        <v>240</v>
      </c>
      <c r="W188" s="59" t="s">
        <v>240</v>
      </c>
      <c r="X188" s="59" t="s">
        <v>240</v>
      </c>
      <c r="Y188" s="59" t="e">
        <v>#N/A</v>
      </c>
      <c r="Z188" s="61" t="e">
        <f>IF(OR(List129[[#This Row],[Fragile 2018]]=1,List129[[#This Row],[Income]]="LDC"),1,"")</f>
        <v>#N/A</v>
      </c>
      <c r="AA188" s="59" t="s">
        <v>240</v>
      </c>
      <c r="AB188" s="59" t="s">
        <v>240</v>
      </c>
      <c r="AC188" s="59" t="s">
        <v>240</v>
      </c>
      <c r="AD188" s="59" t="s">
        <v>240</v>
      </c>
      <c r="AE188" s="59" t="s">
        <v>240</v>
      </c>
      <c r="AF188" s="59" t="s">
        <v>240</v>
      </c>
      <c r="AG188" s="59" t="s">
        <v>240</v>
      </c>
      <c r="AH188" s="59" t="s">
        <v>240</v>
      </c>
      <c r="AI188" s="59" t="s">
        <v>240</v>
      </c>
      <c r="AJ188" s="59" t="s">
        <v>240</v>
      </c>
      <c r="AK188" s="59" t="s">
        <v>240</v>
      </c>
      <c r="AL188" s="59" t="s">
        <v>240</v>
      </c>
      <c r="AN188" s="59" t="s">
        <v>2384</v>
      </c>
    </row>
    <row r="189" spans="1:40" x14ac:dyDescent="0.2">
      <c r="A189" s="59">
        <v>684</v>
      </c>
      <c r="C189" s="59" t="s">
        <v>2389</v>
      </c>
      <c r="D189" s="59" t="s">
        <v>2390</v>
      </c>
      <c r="F189" s="59" t="s">
        <v>2391</v>
      </c>
      <c r="J189" s="59">
        <v>840</v>
      </c>
      <c r="K189" s="59" t="s">
        <v>2392</v>
      </c>
      <c r="O189" s="59" t="s">
        <v>1901</v>
      </c>
      <c r="P189" s="59" t="b">
        <f>List129[[#This Row],[Income2018]]=List129[[#This Row],[Income]]</f>
        <v>1</v>
      </c>
      <c r="Q189" s="59" t="s">
        <v>2393</v>
      </c>
      <c r="R189" s="59" t="s">
        <v>240</v>
      </c>
      <c r="S189" s="59" t="e">
        <f>VLOOKUP(List129[[#This Row],[Afkorting]],$AF$288:$AF$307,1,FALSE)</f>
        <v>#N/A</v>
      </c>
      <c r="T189" s="59" t="s">
        <v>240</v>
      </c>
      <c r="U189" s="59" t="s">
        <v>1886</v>
      </c>
      <c r="V189" s="59" t="s">
        <v>240</v>
      </c>
      <c r="W189" s="59" t="s">
        <v>240</v>
      </c>
      <c r="X189" s="59" t="s">
        <v>240</v>
      </c>
      <c r="Y189" s="59" t="e">
        <v>#N/A</v>
      </c>
      <c r="Z189" s="61" t="e">
        <f>IF(OR(List129[[#This Row],[Fragile 2018]]=1,List129[[#This Row],[Income]]="LDC"),1,"")</f>
        <v>#N/A</v>
      </c>
      <c r="AA189" s="59" t="s">
        <v>240</v>
      </c>
      <c r="AB189" s="59" t="s">
        <v>240</v>
      </c>
      <c r="AC189" s="59" t="s">
        <v>240</v>
      </c>
      <c r="AD189" s="59" t="s">
        <v>240</v>
      </c>
      <c r="AE189" s="59" t="s">
        <v>240</v>
      </c>
      <c r="AF189" s="59" t="s">
        <v>240</v>
      </c>
      <c r="AG189" s="59" t="s">
        <v>240</v>
      </c>
      <c r="AH189" s="59" t="s">
        <v>240</v>
      </c>
      <c r="AI189" s="59" t="s">
        <v>240</v>
      </c>
      <c r="AJ189" s="59" t="s">
        <v>240</v>
      </c>
      <c r="AK189" s="59" t="s">
        <v>240</v>
      </c>
      <c r="AL189" s="59" t="s">
        <v>240</v>
      </c>
      <c r="AN189" s="59" t="s">
        <v>2389</v>
      </c>
    </row>
    <row r="190" spans="1:40" x14ac:dyDescent="0.2">
      <c r="A190" s="59">
        <v>180</v>
      </c>
      <c r="C190" s="59" t="s">
        <v>2394</v>
      </c>
      <c r="D190" s="59" t="s">
        <v>2394</v>
      </c>
      <c r="E190" s="59" t="s">
        <v>2394</v>
      </c>
      <c r="F190" s="59" t="s">
        <v>2395</v>
      </c>
      <c r="G190" s="59" t="s">
        <v>2396</v>
      </c>
      <c r="K190" s="59" t="s">
        <v>2395</v>
      </c>
      <c r="O190" s="59" t="s">
        <v>2201</v>
      </c>
      <c r="P190" s="59" t="b">
        <f>List129[[#This Row],[Income2018]]=List129[[#This Row],[Income]]</f>
        <v>1</v>
      </c>
      <c r="Q190" s="59" t="s">
        <v>2201</v>
      </c>
      <c r="R190" s="59" t="s">
        <v>240</v>
      </c>
      <c r="S190" s="59" t="e">
        <f>VLOOKUP(List129[[#This Row],[Afkorting]],$AF$288:$AF$307,1,FALSE)</f>
        <v>#N/A</v>
      </c>
      <c r="T190" s="59" t="s">
        <v>240</v>
      </c>
      <c r="U190" s="59" t="s">
        <v>240</v>
      </c>
      <c r="V190" s="59" t="s">
        <v>240</v>
      </c>
      <c r="W190" s="59" t="s">
        <v>240</v>
      </c>
      <c r="X190" s="59" t="s">
        <v>240</v>
      </c>
      <c r="Y190" s="59" t="e">
        <v>#N/A</v>
      </c>
      <c r="Z190" s="61" t="e">
        <f>IF(OR(List129[[#This Row],[Fragile 2018]]=1,List129[[#This Row],[Income]]="LDC"),1,"")</f>
        <v>#N/A</v>
      </c>
      <c r="AA190" s="59" t="s">
        <v>240</v>
      </c>
      <c r="AB190" s="59" t="s">
        <v>240</v>
      </c>
      <c r="AC190" s="59" t="s">
        <v>240</v>
      </c>
      <c r="AD190" s="59" t="s">
        <v>240</v>
      </c>
      <c r="AE190" s="59" t="s">
        <v>240</v>
      </c>
      <c r="AF190" s="59" t="s">
        <v>240</v>
      </c>
      <c r="AG190" s="59" t="s">
        <v>240</v>
      </c>
      <c r="AH190" s="59" t="s">
        <v>240</v>
      </c>
      <c r="AI190" s="59" t="s">
        <v>240</v>
      </c>
      <c r="AJ190" s="59" t="s">
        <v>240</v>
      </c>
      <c r="AK190" s="59" t="s">
        <v>240</v>
      </c>
      <c r="AL190" s="59" t="s">
        <v>240</v>
      </c>
      <c r="AN190" s="59" t="s">
        <v>2394</v>
      </c>
    </row>
    <row r="191" spans="1:40" x14ac:dyDescent="0.2">
      <c r="A191" s="59">
        <v>114</v>
      </c>
      <c r="C191" s="59" t="s">
        <v>2397</v>
      </c>
      <c r="D191" s="59" t="s">
        <v>2398</v>
      </c>
      <c r="E191" s="59" t="s">
        <v>2399</v>
      </c>
      <c r="F191" s="59" t="s">
        <v>2400</v>
      </c>
      <c r="G191" s="59" t="s">
        <v>2401</v>
      </c>
      <c r="K191" s="59" t="s">
        <v>2402</v>
      </c>
      <c r="O191" s="59" t="s">
        <v>2201</v>
      </c>
      <c r="P191" s="59" t="b">
        <f>List129[[#This Row],[Income2018]]=List129[[#This Row],[Income]]</f>
        <v>1</v>
      </c>
      <c r="Q191" s="59" t="s">
        <v>2201</v>
      </c>
      <c r="R191" s="59" t="s">
        <v>240</v>
      </c>
      <c r="S191" s="59" t="e">
        <f>VLOOKUP(List129[[#This Row],[Afkorting]],$AF$288:$AF$307,1,FALSE)</f>
        <v>#N/A</v>
      </c>
      <c r="T191" s="59" t="s">
        <v>240</v>
      </c>
      <c r="U191" s="59" t="s">
        <v>240</v>
      </c>
      <c r="V191" s="59" t="s">
        <v>240</v>
      </c>
      <c r="W191" s="59" t="s">
        <v>240</v>
      </c>
      <c r="X191" s="59" t="s">
        <v>240</v>
      </c>
      <c r="Y191" s="59" t="e">
        <v>#N/A</v>
      </c>
      <c r="Z191" s="61" t="e">
        <f>IF(OR(List129[[#This Row],[Fragile 2018]]=1,List129[[#This Row],[Income]]="LDC"),1,"")</f>
        <v>#N/A</v>
      </c>
      <c r="AA191" s="59" t="s">
        <v>240</v>
      </c>
      <c r="AB191" s="59" t="s">
        <v>240</v>
      </c>
      <c r="AC191" s="59" t="s">
        <v>240</v>
      </c>
      <c r="AD191" s="59" t="s">
        <v>240</v>
      </c>
      <c r="AE191" s="59" t="s">
        <v>240</v>
      </c>
      <c r="AF191" s="59" t="s">
        <v>240</v>
      </c>
      <c r="AG191" s="59" t="s">
        <v>240</v>
      </c>
      <c r="AH191" s="59" t="s">
        <v>240</v>
      </c>
      <c r="AI191" s="59" t="s">
        <v>240</v>
      </c>
      <c r="AJ191" s="59" t="s">
        <v>240</v>
      </c>
      <c r="AK191" s="59" t="s">
        <v>240</v>
      </c>
      <c r="AL191" s="59" t="s">
        <v>240</v>
      </c>
      <c r="AN191" s="59" t="s">
        <v>2397</v>
      </c>
    </row>
    <row r="192" spans="1:40" x14ac:dyDescent="0.2">
      <c r="A192" s="59">
        <v>681</v>
      </c>
      <c r="C192" s="59" t="s">
        <v>2403</v>
      </c>
      <c r="D192" s="59" t="s">
        <v>2403</v>
      </c>
      <c r="E192" s="59" t="s">
        <v>2403</v>
      </c>
      <c r="G192" s="59" t="s">
        <v>2404</v>
      </c>
      <c r="K192" s="59" t="s">
        <v>2405</v>
      </c>
      <c r="O192" s="59" t="s">
        <v>2201</v>
      </c>
      <c r="P192" s="59" t="b">
        <f>List129[[#This Row],[Income2018]]=List129[[#This Row],[Income]]</f>
        <v>1</v>
      </c>
      <c r="Q192" s="59" t="s">
        <v>2201</v>
      </c>
      <c r="R192" s="59" t="s">
        <v>240</v>
      </c>
      <c r="S192" s="59" t="e">
        <f>VLOOKUP(List129[[#This Row],[Afkorting]],$AF$288:$AF$307,1,FALSE)</f>
        <v>#N/A</v>
      </c>
      <c r="T192" s="59" t="s">
        <v>240</v>
      </c>
      <c r="U192" s="59" t="s">
        <v>1886</v>
      </c>
      <c r="V192" s="59" t="s">
        <v>240</v>
      </c>
      <c r="W192" s="59" t="s">
        <v>240</v>
      </c>
      <c r="X192" s="59" t="s">
        <v>240</v>
      </c>
      <c r="Y192" s="59" t="e">
        <v>#N/A</v>
      </c>
      <c r="Z192" s="61" t="e">
        <f>IF(OR(List129[[#This Row],[Fragile 2018]]=1,List129[[#This Row],[Income]]="LDC"),1,"")</f>
        <v>#N/A</v>
      </c>
      <c r="AA192" s="59" t="s">
        <v>240</v>
      </c>
      <c r="AB192" s="59" t="s">
        <v>240</v>
      </c>
      <c r="AC192" s="59" t="s">
        <v>240</v>
      </c>
      <c r="AD192" s="59" t="s">
        <v>240</v>
      </c>
      <c r="AE192" s="59" t="s">
        <v>240</v>
      </c>
      <c r="AF192" s="59" t="s">
        <v>240</v>
      </c>
      <c r="AG192" s="59" t="s">
        <v>240</v>
      </c>
      <c r="AH192" s="59" t="s">
        <v>240</v>
      </c>
      <c r="AI192" s="59" t="s">
        <v>240</v>
      </c>
      <c r="AJ192" s="59" t="s">
        <v>240</v>
      </c>
      <c r="AK192" s="59" t="s">
        <v>240</v>
      </c>
      <c r="AL192" s="59" t="s">
        <v>240</v>
      </c>
      <c r="AN192" s="59" t="s">
        <v>2403</v>
      </c>
    </row>
    <row r="193" spans="1:40" x14ac:dyDescent="0.2">
      <c r="A193" s="59">
        <v>115</v>
      </c>
      <c r="C193" s="59" t="s">
        <v>2406</v>
      </c>
      <c r="D193" s="59" t="s">
        <v>2407</v>
      </c>
      <c r="E193" s="59" t="s">
        <v>2408</v>
      </c>
      <c r="F193" s="59" t="s">
        <v>2409</v>
      </c>
      <c r="G193" s="59" t="s">
        <v>2410</v>
      </c>
      <c r="J193" s="59">
        <v>75</v>
      </c>
      <c r="K193" s="59" t="s">
        <v>2411</v>
      </c>
      <c r="O193" s="59" t="s">
        <v>2201</v>
      </c>
      <c r="P193" s="59" t="b">
        <f>List129[[#This Row],[Income2018]]=List129[[#This Row],[Income]]</f>
        <v>1</v>
      </c>
      <c r="Q193" s="59" t="s">
        <v>2201</v>
      </c>
      <c r="R193" s="59" t="s">
        <v>240</v>
      </c>
      <c r="S193" s="59" t="e">
        <f>VLOOKUP(List129[[#This Row],[Afkorting]],$AF$288:$AF$307,1,FALSE)</f>
        <v>#N/A</v>
      </c>
      <c r="T193" s="59" t="s">
        <v>240</v>
      </c>
      <c r="U193" s="59" t="s">
        <v>240</v>
      </c>
      <c r="V193" s="59" t="s">
        <v>240</v>
      </c>
      <c r="W193" s="59" t="s">
        <v>240</v>
      </c>
      <c r="X193" s="59" t="s">
        <v>240</v>
      </c>
      <c r="Y193" s="59" t="e">
        <v>#N/A</v>
      </c>
      <c r="Z193" s="61" t="e">
        <f>IF(OR(List129[[#This Row],[Fragile 2018]]=1,List129[[#This Row],[Income]]="LDC"),1,"")</f>
        <v>#N/A</v>
      </c>
      <c r="AA193" s="59" t="s">
        <v>240</v>
      </c>
      <c r="AB193" s="59" t="s">
        <v>240</v>
      </c>
      <c r="AC193" s="59" t="s">
        <v>240</v>
      </c>
      <c r="AD193" s="59" t="s">
        <v>240</v>
      </c>
      <c r="AE193" s="59" t="s">
        <v>240</v>
      </c>
      <c r="AF193" s="59" t="s">
        <v>240</v>
      </c>
      <c r="AG193" s="59" t="s">
        <v>240</v>
      </c>
      <c r="AH193" s="59" t="s">
        <v>240</v>
      </c>
      <c r="AI193" s="59" t="s">
        <v>240</v>
      </c>
      <c r="AJ193" s="59" t="s">
        <v>240</v>
      </c>
      <c r="AK193" s="59" t="s">
        <v>240</v>
      </c>
      <c r="AL193" s="59" t="s">
        <v>240</v>
      </c>
      <c r="AN193" s="59" t="s">
        <v>2406</v>
      </c>
    </row>
    <row r="194" spans="1:40" x14ac:dyDescent="0.2">
      <c r="A194" s="59">
        <v>280</v>
      </c>
      <c r="C194" s="59" t="s">
        <v>2412</v>
      </c>
      <c r="D194" s="59" t="s">
        <v>2412</v>
      </c>
      <c r="E194" s="59" t="s">
        <v>2413</v>
      </c>
      <c r="F194" s="59" t="s">
        <v>2414</v>
      </c>
      <c r="G194" s="59" t="s">
        <v>2415</v>
      </c>
      <c r="K194" s="59" t="s">
        <v>2414</v>
      </c>
      <c r="O194" s="59" t="s">
        <v>2201</v>
      </c>
      <c r="P194" s="59" t="b">
        <f>List129[[#This Row],[Income2018]]=List129[[#This Row],[Income]]</f>
        <v>1</v>
      </c>
      <c r="Q194" s="59" t="s">
        <v>2201</v>
      </c>
      <c r="R194" s="59" t="s">
        <v>240</v>
      </c>
      <c r="S194" s="59" t="e">
        <f>VLOOKUP(List129[[#This Row],[Afkorting]],$AF$288:$AF$307,1,FALSE)</f>
        <v>#N/A</v>
      </c>
      <c r="T194" s="59" t="s">
        <v>240</v>
      </c>
      <c r="U194" s="59" t="s">
        <v>240</v>
      </c>
      <c r="V194" s="59" t="s">
        <v>240</v>
      </c>
      <c r="W194" s="59" t="s">
        <v>240</v>
      </c>
      <c r="X194" s="59" t="s">
        <v>240</v>
      </c>
      <c r="Y194" s="59" t="e">
        <v>#N/A</v>
      </c>
      <c r="Z194" s="61" t="e">
        <f>IF(OR(List129[[#This Row],[Fragile 2018]]=1,List129[[#This Row],[Income]]="LDC"),1,"")</f>
        <v>#N/A</v>
      </c>
      <c r="AA194" s="59" t="s">
        <v>240</v>
      </c>
      <c r="AB194" s="59" t="s">
        <v>240</v>
      </c>
      <c r="AC194" s="59" t="s">
        <v>240</v>
      </c>
      <c r="AD194" s="59" t="s">
        <v>240</v>
      </c>
      <c r="AE194" s="59" t="s">
        <v>240</v>
      </c>
      <c r="AF194" s="59" t="s">
        <v>240</v>
      </c>
      <c r="AG194" s="59" t="s">
        <v>240</v>
      </c>
      <c r="AH194" s="59" t="s">
        <v>240</v>
      </c>
      <c r="AI194" s="59" t="s">
        <v>240</v>
      </c>
      <c r="AJ194" s="59" t="s">
        <v>240</v>
      </c>
      <c r="AK194" s="59" t="s">
        <v>240</v>
      </c>
      <c r="AL194" s="59" t="s">
        <v>240</v>
      </c>
      <c r="AN194" s="59" t="s">
        <v>2412</v>
      </c>
    </row>
    <row r="195" spans="1:40" x14ac:dyDescent="0.2">
      <c r="A195" s="59">
        <v>256</v>
      </c>
      <c r="C195" s="59" t="s">
        <v>2416</v>
      </c>
      <c r="D195" s="59" t="s">
        <v>2417</v>
      </c>
      <c r="E195" s="59" t="s">
        <v>2416</v>
      </c>
      <c r="F195" s="59" t="s">
        <v>2418</v>
      </c>
      <c r="G195" s="59" t="s">
        <v>2419</v>
      </c>
      <c r="J195" s="59">
        <v>546</v>
      </c>
      <c r="K195" s="59" t="s">
        <v>2418</v>
      </c>
      <c r="O195" s="59" t="s">
        <v>1901</v>
      </c>
      <c r="P195" s="59" t="b">
        <f>List129[[#This Row],[Income2018]]=List129[[#This Row],[Income]]</f>
        <v>1</v>
      </c>
      <c r="Q195" s="59" t="s">
        <v>2420</v>
      </c>
      <c r="R195" s="59" t="s">
        <v>240</v>
      </c>
      <c r="S195" s="59" t="e">
        <f>VLOOKUP(List129[[#This Row],[Afkorting]],$AF$288:$AF$307,1,FALSE)</f>
        <v>#N/A</v>
      </c>
      <c r="T195" s="59" t="s">
        <v>240</v>
      </c>
      <c r="U195" s="59" t="s">
        <v>240</v>
      </c>
      <c r="V195" s="59" t="s">
        <v>240</v>
      </c>
      <c r="W195" s="59" t="s">
        <v>240</v>
      </c>
      <c r="X195" s="59" t="s">
        <v>240</v>
      </c>
      <c r="Y195" s="59" t="e">
        <v>#N/A</v>
      </c>
      <c r="Z195" s="61" t="e">
        <f>IF(OR(List129[[#This Row],[Fragile 2018]]=1,List129[[#This Row],[Income]]="LDC"),1,"")</f>
        <v>#N/A</v>
      </c>
      <c r="AA195" s="59" t="s">
        <v>240</v>
      </c>
      <c r="AB195" s="59" t="s">
        <v>240</v>
      </c>
      <c r="AC195" s="59" t="s">
        <v>240</v>
      </c>
      <c r="AD195" s="59" t="s">
        <v>240</v>
      </c>
      <c r="AE195" s="59" t="s">
        <v>240</v>
      </c>
      <c r="AF195" s="59" t="s">
        <v>240</v>
      </c>
      <c r="AG195" s="59" t="s">
        <v>240</v>
      </c>
      <c r="AH195" s="59" t="s">
        <v>240</v>
      </c>
      <c r="AI195" s="59" t="s">
        <v>240</v>
      </c>
      <c r="AJ195" s="59" t="s">
        <v>240</v>
      </c>
      <c r="AK195" s="59" t="s">
        <v>240</v>
      </c>
      <c r="AL195" s="59" t="s">
        <v>240</v>
      </c>
      <c r="AN195" s="59" t="s">
        <v>2416</v>
      </c>
    </row>
    <row r="196" spans="1:40" x14ac:dyDescent="0.2">
      <c r="A196" s="59">
        <v>270</v>
      </c>
      <c r="B196" s="62"/>
      <c r="C196" s="59" t="s">
        <v>2421</v>
      </c>
      <c r="D196" s="59" t="s">
        <v>2422</v>
      </c>
      <c r="E196" s="59" t="s">
        <v>2423</v>
      </c>
      <c r="F196" s="59" t="s">
        <v>2424</v>
      </c>
      <c r="G196" s="59" t="s">
        <v>2053</v>
      </c>
      <c r="I196" s="59">
        <v>798</v>
      </c>
      <c r="K196" s="59" t="s">
        <v>1479</v>
      </c>
      <c r="L196" s="59" t="s">
        <v>1253</v>
      </c>
      <c r="M196" s="59" t="s">
        <v>1888</v>
      </c>
      <c r="O196" s="59" t="s">
        <v>2201</v>
      </c>
      <c r="P196" s="59" t="b">
        <f>List129[[#This Row],[Income2018]]=List129[[#This Row],[Income]]</f>
        <v>0</v>
      </c>
      <c r="Q196" s="59" t="s">
        <v>2201</v>
      </c>
      <c r="R196" s="59" t="s">
        <v>240</v>
      </c>
      <c r="S196" s="59" t="e">
        <f>VLOOKUP(List129[[#This Row],[Afkorting]],$AF$288:$AF$307,1,FALSE)</f>
        <v>#N/A</v>
      </c>
      <c r="T196" s="59" t="s">
        <v>1886</v>
      </c>
      <c r="U196" s="59" t="s">
        <v>240</v>
      </c>
      <c r="V196" s="59" t="s">
        <v>240</v>
      </c>
      <c r="W196" s="59" t="s">
        <v>240</v>
      </c>
      <c r="X196" s="59" t="s">
        <v>240</v>
      </c>
      <c r="Y196" s="59" t="e">
        <v>#N/A</v>
      </c>
      <c r="Z196" s="61" t="e">
        <f>IF(OR(List129[[#This Row],[Fragile 2018]]=1,List129[[#This Row],[Income]]="LDC"),1,"")</f>
        <v>#N/A</v>
      </c>
      <c r="AA196" s="59" t="s">
        <v>240</v>
      </c>
      <c r="AB196" s="59" t="s">
        <v>240</v>
      </c>
      <c r="AC196" s="59" t="s">
        <v>240</v>
      </c>
      <c r="AD196" s="59" t="s">
        <v>240</v>
      </c>
      <c r="AE196" s="59" t="s">
        <v>240</v>
      </c>
      <c r="AF196" s="59" t="s">
        <v>240</v>
      </c>
      <c r="AG196" s="59" t="s">
        <v>240</v>
      </c>
      <c r="AH196" s="59" t="s">
        <v>240</v>
      </c>
      <c r="AI196" s="59" t="s">
        <v>240</v>
      </c>
      <c r="AJ196" s="59" t="s">
        <v>1886</v>
      </c>
      <c r="AK196" s="59" t="s">
        <v>240</v>
      </c>
      <c r="AL196" s="59" t="s">
        <v>240</v>
      </c>
      <c r="AN196" s="59" t="s">
        <v>2421</v>
      </c>
    </row>
    <row r="197" spans="1:40" x14ac:dyDescent="0.2">
      <c r="A197" s="59">
        <v>492</v>
      </c>
      <c r="C197" s="59" t="s">
        <v>2425</v>
      </c>
      <c r="D197" s="59" t="s">
        <v>2426</v>
      </c>
      <c r="E197" s="59" t="s">
        <v>2427</v>
      </c>
      <c r="F197" s="59" t="s">
        <v>2428</v>
      </c>
      <c r="G197" s="59" t="s">
        <v>2429</v>
      </c>
      <c r="K197" s="59" t="s">
        <v>2430</v>
      </c>
      <c r="O197" s="59" t="s">
        <v>2201</v>
      </c>
      <c r="P197" s="59" t="b">
        <f>List129[[#This Row],[Income2018]]=List129[[#This Row],[Income]]</f>
        <v>1</v>
      </c>
      <c r="Q197" s="59" t="s">
        <v>2201</v>
      </c>
      <c r="R197" s="59" t="s">
        <v>240</v>
      </c>
      <c r="S197" s="59" t="e">
        <f>VLOOKUP(List129[[#This Row],[Afkorting]],$AF$288:$AF$307,1,FALSE)</f>
        <v>#N/A</v>
      </c>
      <c r="T197" s="59" t="s">
        <v>240</v>
      </c>
      <c r="U197" s="59" t="s">
        <v>240</v>
      </c>
      <c r="V197" s="59" t="s">
        <v>240</v>
      </c>
      <c r="W197" s="59" t="s">
        <v>240</v>
      </c>
      <c r="X197" s="59" t="s">
        <v>240</v>
      </c>
      <c r="Y197" s="59" t="e">
        <v>#N/A</v>
      </c>
      <c r="Z197" s="61" t="e">
        <f>IF(OR(List129[[#This Row],[Fragile 2018]]=1,List129[[#This Row],[Income]]="LDC"),1,"")</f>
        <v>#N/A</v>
      </c>
      <c r="AA197" s="59" t="s">
        <v>240</v>
      </c>
      <c r="AB197" s="59" t="s">
        <v>240</v>
      </c>
      <c r="AC197" s="59" t="s">
        <v>240</v>
      </c>
      <c r="AD197" s="59" t="s">
        <v>240</v>
      </c>
      <c r="AE197" s="59" t="s">
        <v>240</v>
      </c>
      <c r="AF197" s="59" t="s">
        <v>240</v>
      </c>
      <c r="AG197" s="59" t="s">
        <v>240</v>
      </c>
      <c r="AH197" s="59" t="s">
        <v>240</v>
      </c>
      <c r="AI197" s="59" t="s">
        <v>240</v>
      </c>
      <c r="AJ197" s="59" t="s">
        <v>240</v>
      </c>
      <c r="AK197" s="59" t="s">
        <v>240</v>
      </c>
      <c r="AL197" s="59" t="s">
        <v>240</v>
      </c>
      <c r="AN197" s="59" t="s">
        <v>2425</v>
      </c>
    </row>
    <row r="198" spans="1:40" x14ac:dyDescent="0.2">
      <c r="A198" s="59">
        <v>264</v>
      </c>
      <c r="C198" s="59" t="s">
        <v>2431</v>
      </c>
      <c r="D198" s="59" t="s">
        <v>2432</v>
      </c>
      <c r="E198" s="59" t="s">
        <v>2433</v>
      </c>
      <c r="F198" s="59" t="s">
        <v>2434</v>
      </c>
      <c r="G198" s="59" t="s">
        <v>2435</v>
      </c>
      <c r="K198" s="59" t="s">
        <v>2436</v>
      </c>
      <c r="O198" s="59" t="s">
        <v>2201</v>
      </c>
      <c r="P198" s="59" t="b">
        <f>List129[[#This Row],[Income2018]]=List129[[#This Row],[Income]]</f>
        <v>1</v>
      </c>
      <c r="Q198" s="59" t="s">
        <v>2201</v>
      </c>
      <c r="R198" s="59" t="s">
        <v>240</v>
      </c>
      <c r="S198" s="59" t="e">
        <f>VLOOKUP(List129[[#This Row],[Afkorting]],$AF$288:$AF$307,1,FALSE)</f>
        <v>#N/A</v>
      </c>
      <c r="T198" s="59" t="s">
        <v>240</v>
      </c>
      <c r="U198" s="59" t="s">
        <v>240</v>
      </c>
      <c r="V198" s="59" t="s">
        <v>240</v>
      </c>
      <c r="W198" s="59" t="s">
        <v>240</v>
      </c>
      <c r="X198" s="59" t="s">
        <v>240</v>
      </c>
      <c r="Y198" s="59" t="e">
        <v>#N/A</v>
      </c>
      <c r="Z198" s="61" t="e">
        <f>IF(OR(List129[[#This Row],[Fragile 2018]]=1,List129[[#This Row],[Income]]="LDC"),1,"")</f>
        <v>#N/A</v>
      </c>
      <c r="AA198" s="59" t="s">
        <v>240</v>
      </c>
      <c r="AB198" s="59" t="s">
        <v>240</v>
      </c>
      <c r="AC198" s="59" t="s">
        <v>240</v>
      </c>
      <c r="AD198" s="59" t="s">
        <v>240</v>
      </c>
      <c r="AE198" s="59" t="s">
        <v>240</v>
      </c>
      <c r="AF198" s="59" t="s">
        <v>240</v>
      </c>
      <c r="AG198" s="59" t="s">
        <v>240</v>
      </c>
      <c r="AH198" s="59" t="s">
        <v>240</v>
      </c>
      <c r="AI198" s="59" t="s">
        <v>240</v>
      </c>
      <c r="AJ198" s="59" t="s">
        <v>240</v>
      </c>
      <c r="AK198" s="59" t="s">
        <v>240</v>
      </c>
      <c r="AL198" s="59" t="s">
        <v>240</v>
      </c>
      <c r="AN198" s="59" t="s">
        <v>2431</v>
      </c>
    </row>
    <row r="199" spans="1:40" x14ac:dyDescent="0.2">
      <c r="A199" s="59">
        <v>118</v>
      </c>
      <c r="C199" s="59" t="s">
        <v>2437</v>
      </c>
      <c r="D199" s="59" t="s">
        <v>2437</v>
      </c>
      <c r="E199" s="59" t="s">
        <v>2437</v>
      </c>
      <c r="F199" s="59" t="s">
        <v>2438</v>
      </c>
      <c r="G199" s="59" t="s">
        <v>2439</v>
      </c>
      <c r="K199" s="59" t="s">
        <v>2438</v>
      </c>
      <c r="O199" s="59" t="s">
        <v>2201</v>
      </c>
      <c r="P199" s="59" t="b">
        <f>List129[[#This Row],[Income2018]]=List129[[#This Row],[Income]]</f>
        <v>1</v>
      </c>
      <c r="Q199" s="59" t="s">
        <v>2201</v>
      </c>
      <c r="R199" s="59" t="s">
        <v>240</v>
      </c>
      <c r="S199" s="59" t="e">
        <f>VLOOKUP(List129[[#This Row],[Afkorting]],$AF$288:$AF$307,1,FALSE)</f>
        <v>#N/A</v>
      </c>
      <c r="T199" s="59" t="s">
        <v>240</v>
      </c>
      <c r="U199" s="59" t="s">
        <v>240</v>
      </c>
      <c r="V199" s="59" t="s">
        <v>240</v>
      </c>
      <c r="W199" s="59" t="s">
        <v>240</v>
      </c>
      <c r="X199" s="59" t="s">
        <v>240</v>
      </c>
      <c r="Y199" s="59" t="e">
        <v>#N/A</v>
      </c>
      <c r="Z199" s="61" t="e">
        <f>IF(OR(List129[[#This Row],[Fragile 2018]]=1,List129[[#This Row],[Income]]="LDC"),1,"")</f>
        <v>#N/A</v>
      </c>
      <c r="AA199" s="59" t="s">
        <v>240</v>
      </c>
      <c r="AB199" s="59" t="s">
        <v>240</v>
      </c>
      <c r="AC199" s="59" t="s">
        <v>240</v>
      </c>
      <c r="AD199" s="59" t="s">
        <v>240</v>
      </c>
      <c r="AE199" s="59" t="s">
        <v>240</v>
      </c>
      <c r="AF199" s="59" t="s">
        <v>240</v>
      </c>
      <c r="AG199" s="59" t="s">
        <v>240</v>
      </c>
      <c r="AH199" s="59" t="s">
        <v>240</v>
      </c>
      <c r="AI199" s="59" t="s">
        <v>240</v>
      </c>
      <c r="AJ199" s="59" t="s">
        <v>240</v>
      </c>
      <c r="AK199" s="59" t="s">
        <v>240</v>
      </c>
      <c r="AL199" s="59" t="s">
        <v>240</v>
      </c>
      <c r="AN199" s="59" t="s">
        <v>2437</v>
      </c>
    </row>
    <row r="200" spans="1:40" x14ac:dyDescent="0.2">
      <c r="A200" s="59">
        <v>486</v>
      </c>
      <c r="C200" s="59" t="s">
        <v>2440</v>
      </c>
      <c r="D200" s="59" t="s">
        <v>2441</v>
      </c>
      <c r="E200" s="59" t="s">
        <v>2442</v>
      </c>
      <c r="F200" s="59" t="s">
        <v>2443</v>
      </c>
      <c r="J200" s="59">
        <v>388</v>
      </c>
      <c r="K200" s="59" t="s">
        <v>2444</v>
      </c>
      <c r="O200" s="59" t="s">
        <v>1901</v>
      </c>
      <c r="P200" s="59" t="b">
        <f>List129[[#This Row],[Income2018]]=List129[[#This Row],[Income]]</f>
        <v>1</v>
      </c>
      <c r="Q200" s="59" t="s">
        <v>2445</v>
      </c>
      <c r="R200" s="59" t="s">
        <v>240</v>
      </c>
      <c r="S200" s="59" t="e">
        <f>VLOOKUP(List129[[#This Row],[Afkorting]],$AF$288:$AF$307,1,FALSE)</f>
        <v>#N/A</v>
      </c>
      <c r="T200" s="59" t="s">
        <v>240</v>
      </c>
      <c r="U200" s="59" t="s">
        <v>1886</v>
      </c>
      <c r="V200" s="59" t="s">
        <v>240</v>
      </c>
      <c r="W200" s="59" t="s">
        <v>240</v>
      </c>
      <c r="X200" s="59" t="s">
        <v>240</v>
      </c>
      <c r="Y200" s="59" t="e">
        <v>#N/A</v>
      </c>
      <c r="Z200" s="61" t="e">
        <f>IF(OR(List129[[#This Row],[Fragile 2018]]=1,List129[[#This Row],[Income]]="LDC"),1,"")</f>
        <v>#N/A</v>
      </c>
      <c r="AA200" s="59" t="s">
        <v>240</v>
      </c>
      <c r="AB200" s="59" t="s">
        <v>240</v>
      </c>
      <c r="AC200" s="59" t="s">
        <v>240</v>
      </c>
      <c r="AD200" s="59" t="s">
        <v>240</v>
      </c>
      <c r="AE200" s="59" t="s">
        <v>240</v>
      </c>
      <c r="AF200" s="59" t="s">
        <v>240</v>
      </c>
      <c r="AG200" s="59" t="s">
        <v>240</v>
      </c>
      <c r="AH200" s="59" t="s">
        <v>240</v>
      </c>
      <c r="AI200" s="59" t="s">
        <v>240</v>
      </c>
      <c r="AJ200" s="59" t="s">
        <v>240</v>
      </c>
      <c r="AK200" s="59" t="s">
        <v>240</v>
      </c>
      <c r="AL200" s="59" t="s">
        <v>240</v>
      </c>
      <c r="AN200" s="59" t="s">
        <v>2440</v>
      </c>
    </row>
    <row r="201" spans="1:40" x14ac:dyDescent="0.2">
      <c r="A201" s="59">
        <v>479</v>
      </c>
      <c r="C201" s="59" t="s">
        <v>2446</v>
      </c>
      <c r="D201" s="59" t="s">
        <v>2447</v>
      </c>
      <c r="E201" s="59" t="s">
        <v>2448</v>
      </c>
      <c r="F201" s="59" t="s">
        <v>2449</v>
      </c>
      <c r="K201" s="59" t="s">
        <v>2444</v>
      </c>
      <c r="O201" s="59" t="s">
        <v>2201</v>
      </c>
      <c r="P201" s="59" t="b">
        <f>List129[[#This Row],[Income2018]]=List129[[#This Row],[Income]]</f>
        <v>1</v>
      </c>
      <c r="Q201" s="59" t="s">
        <v>2201</v>
      </c>
      <c r="R201" s="59" t="s">
        <v>240</v>
      </c>
      <c r="S201" s="59" t="e">
        <f>VLOOKUP(List129[[#This Row],[Afkorting]],$AF$288:$AF$307,1,FALSE)</f>
        <v>#N/A</v>
      </c>
      <c r="T201" s="59" t="s">
        <v>240</v>
      </c>
      <c r="U201" s="59" t="s">
        <v>1886</v>
      </c>
      <c r="V201" s="59" t="s">
        <v>240</v>
      </c>
      <c r="W201" s="59" t="s">
        <v>240</v>
      </c>
      <c r="X201" s="59" t="s">
        <v>240</v>
      </c>
      <c r="Y201" s="59" t="e">
        <v>#N/A</v>
      </c>
      <c r="Z201" s="61" t="e">
        <f>IF(OR(List129[[#This Row],[Fragile 2018]]=1,List129[[#This Row],[Income]]="LDC"),1,"")</f>
        <v>#N/A</v>
      </c>
      <c r="AA201" s="59" t="s">
        <v>240</v>
      </c>
      <c r="AB201" s="59" t="s">
        <v>240</v>
      </c>
      <c r="AC201" s="59" t="s">
        <v>240</v>
      </c>
      <c r="AD201" s="59" t="s">
        <v>240</v>
      </c>
      <c r="AE201" s="59" t="s">
        <v>240</v>
      </c>
      <c r="AF201" s="59" t="s">
        <v>240</v>
      </c>
      <c r="AG201" s="59" t="s">
        <v>240</v>
      </c>
      <c r="AH201" s="59" t="s">
        <v>240</v>
      </c>
      <c r="AI201" s="59" t="s">
        <v>240</v>
      </c>
      <c r="AJ201" s="59" t="s">
        <v>240</v>
      </c>
      <c r="AK201" s="59" t="s">
        <v>240</v>
      </c>
      <c r="AL201" s="59" t="s">
        <v>240</v>
      </c>
      <c r="AN201" s="59" t="s">
        <v>2446</v>
      </c>
    </row>
    <row r="202" spans="1:40" x14ac:dyDescent="0.2">
      <c r="A202" s="59">
        <v>281</v>
      </c>
      <c r="C202" s="59" t="s">
        <v>2450</v>
      </c>
      <c r="D202" s="59" t="s">
        <v>2450</v>
      </c>
      <c r="E202" s="59" t="s">
        <v>2450</v>
      </c>
      <c r="F202" s="59" t="s">
        <v>2451</v>
      </c>
      <c r="G202" s="59" t="s">
        <v>2452</v>
      </c>
      <c r="K202" s="59" t="s">
        <v>2451</v>
      </c>
      <c r="O202" s="59" t="s">
        <v>2201</v>
      </c>
      <c r="P202" s="59" t="b">
        <f>List129[[#This Row],[Income2018]]=List129[[#This Row],[Income]]</f>
        <v>1</v>
      </c>
      <c r="Q202" s="59" t="s">
        <v>2201</v>
      </c>
      <c r="R202" s="59" t="s">
        <v>240</v>
      </c>
      <c r="S202" s="59" t="e">
        <f>VLOOKUP(List129[[#This Row],[Afkorting]],$AF$288:$AF$307,1,FALSE)</f>
        <v>#N/A</v>
      </c>
      <c r="T202" s="59" t="s">
        <v>240</v>
      </c>
      <c r="U202" s="59" t="s">
        <v>240</v>
      </c>
      <c r="V202" s="59" t="s">
        <v>240</v>
      </c>
      <c r="W202" s="59" t="s">
        <v>240</v>
      </c>
      <c r="X202" s="59" t="s">
        <v>240</v>
      </c>
      <c r="Y202" s="59" t="e">
        <v>#N/A</v>
      </c>
      <c r="Z202" s="61" t="e">
        <f>IF(OR(List129[[#This Row],[Fragile 2018]]=1,List129[[#This Row],[Income]]="LDC"),1,"")</f>
        <v>#N/A</v>
      </c>
      <c r="AA202" s="59" t="s">
        <v>240</v>
      </c>
      <c r="AB202" s="59" t="s">
        <v>240</v>
      </c>
      <c r="AC202" s="59" t="s">
        <v>240</v>
      </c>
      <c r="AD202" s="59" t="s">
        <v>240</v>
      </c>
      <c r="AE202" s="59" t="s">
        <v>240</v>
      </c>
      <c r="AF202" s="59" t="s">
        <v>240</v>
      </c>
      <c r="AG202" s="59" t="s">
        <v>240</v>
      </c>
      <c r="AH202" s="59" t="s">
        <v>240</v>
      </c>
      <c r="AI202" s="59" t="s">
        <v>240</v>
      </c>
      <c r="AJ202" s="59" t="s">
        <v>240</v>
      </c>
      <c r="AK202" s="59" t="s">
        <v>240</v>
      </c>
      <c r="AL202" s="59" t="s">
        <v>240</v>
      </c>
      <c r="AN202" s="59" t="s">
        <v>2450</v>
      </c>
    </row>
    <row r="203" spans="1:40" x14ac:dyDescent="0.2">
      <c r="A203" s="59">
        <v>119</v>
      </c>
      <c r="C203" s="59" t="s">
        <v>2453</v>
      </c>
      <c r="D203" s="59" t="s">
        <v>2454</v>
      </c>
      <c r="E203" s="59" t="s">
        <v>2453</v>
      </c>
      <c r="F203" s="59" t="s">
        <v>2455</v>
      </c>
      <c r="G203" s="59" t="s">
        <v>2456</v>
      </c>
      <c r="K203" s="59" t="s">
        <v>2457</v>
      </c>
      <c r="O203" s="59" t="s">
        <v>2201</v>
      </c>
      <c r="P203" s="59" t="b">
        <f>List129[[#This Row],[Income2018]]=List129[[#This Row],[Income]]</f>
        <v>1</v>
      </c>
      <c r="Q203" s="59" t="s">
        <v>2201</v>
      </c>
      <c r="R203" s="59" t="s">
        <v>240</v>
      </c>
      <c r="S203" s="59" t="e">
        <f>VLOOKUP(List129[[#This Row],[Afkorting]],$AF$288:$AF$307,1,FALSE)</f>
        <v>#N/A</v>
      </c>
      <c r="T203" s="59" t="s">
        <v>240</v>
      </c>
      <c r="U203" s="59" t="s">
        <v>240</v>
      </c>
      <c r="V203" s="59" t="s">
        <v>240</v>
      </c>
      <c r="W203" s="59" t="s">
        <v>240</v>
      </c>
      <c r="X203" s="59" t="s">
        <v>240</v>
      </c>
      <c r="Y203" s="59" t="e">
        <v>#N/A</v>
      </c>
      <c r="Z203" s="61" t="e">
        <f>IF(OR(List129[[#This Row],[Fragile 2018]]=1,List129[[#This Row],[Income]]="LDC"),1,"")</f>
        <v>#N/A</v>
      </c>
      <c r="AA203" s="59" t="s">
        <v>240</v>
      </c>
      <c r="AB203" s="59" t="s">
        <v>240</v>
      </c>
      <c r="AC203" s="59" t="s">
        <v>240</v>
      </c>
      <c r="AD203" s="59" t="s">
        <v>240</v>
      </c>
      <c r="AE203" s="59" t="s">
        <v>240</v>
      </c>
      <c r="AF203" s="59" t="s">
        <v>240</v>
      </c>
      <c r="AG203" s="59" t="s">
        <v>240</v>
      </c>
      <c r="AH203" s="59" t="s">
        <v>240</v>
      </c>
      <c r="AI203" s="59" t="s">
        <v>240</v>
      </c>
      <c r="AJ203" s="59" t="s">
        <v>240</v>
      </c>
      <c r="AK203" s="59" t="s">
        <v>240</v>
      </c>
      <c r="AL203" s="59" t="s">
        <v>240</v>
      </c>
      <c r="AN203" s="59" t="s">
        <v>2453</v>
      </c>
    </row>
    <row r="204" spans="1:40" x14ac:dyDescent="0.2">
      <c r="A204" s="59">
        <v>482</v>
      </c>
      <c r="C204" s="59" t="s">
        <v>2458</v>
      </c>
      <c r="D204" s="59" t="s">
        <v>2459</v>
      </c>
      <c r="E204" s="59" t="s">
        <v>2460</v>
      </c>
      <c r="F204" s="59" t="s">
        <v>2461</v>
      </c>
      <c r="J204" s="59">
        <v>361</v>
      </c>
      <c r="K204" s="59" t="s">
        <v>2462</v>
      </c>
      <c r="O204" s="59" t="s">
        <v>1901</v>
      </c>
      <c r="P204" s="59" t="b">
        <f>List129[[#This Row],[Income2018]]=List129[[#This Row],[Income]]</f>
        <v>1</v>
      </c>
      <c r="Q204" s="59" t="s">
        <v>2463</v>
      </c>
      <c r="R204" s="59" t="s">
        <v>240</v>
      </c>
      <c r="S204" s="59" t="e">
        <f>VLOOKUP(List129[[#This Row],[Afkorting]],$AF$288:$AF$307,1,FALSE)</f>
        <v>#N/A</v>
      </c>
      <c r="T204" s="59" t="s">
        <v>240</v>
      </c>
      <c r="U204" s="59" t="s">
        <v>1886</v>
      </c>
      <c r="V204" s="59" t="s">
        <v>240</v>
      </c>
      <c r="W204" s="59" t="s">
        <v>240</v>
      </c>
      <c r="X204" s="59" t="s">
        <v>240</v>
      </c>
      <c r="Y204" s="59" t="e">
        <v>#N/A</v>
      </c>
      <c r="Z204" s="61" t="e">
        <f>IF(OR(List129[[#This Row],[Fragile 2018]]=1,List129[[#This Row],[Income]]="LDC"),1,"")</f>
        <v>#N/A</v>
      </c>
      <c r="AA204" s="59" t="s">
        <v>240</v>
      </c>
      <c r="AB204" s="59" t="s">
        <v>240</v>
      </c>
      <c r="AC204" s="59" t="s">
        <v>240</v>
      </c>
      <c r="AD204" s="59" t="s">
        <v>240</v>
      </c>
      <c r="AE204" s="59" t="s">
        <v>240</v>
      </c>
      <c r="AF204" s="59" t="s">
        <v>240</v>
      </c>
      <c r="AG204" s="59" t="s">
        <v>240</v>
      </c>
      <c r="AH204" s="59" t="s">
        <v>240</v>
      </c>
      <c r="AI204" s="59" t="s">
        <v>240</v>
      </c>
      <c r="AJ204" s="59" t="s">
        <v>240</v>
      </c>
      <c r="AK204" s="59" t="s">
        <v>240</v>
      </c>
      <c r="AL204" s="59" t="s">
        <v>240</v>
      </c>
      <c r="AN204" s="59" t="s">
        <v>2458</v>
      </c>
    </row>
    <row r="205" spans="1:40" x14ac:dyDescent="0.2">
      <c r="A205" s="59">
        <v>683</v>
      </c>
      <c r="C205" s="59" t="s">
        <v>2464</v>
      </c>
      <c r="D205" s="59" t="s">
        <v>2465</v>
      </c>
      <c r="E205" s="59" t="s">
        <v>2466</v>
      </c>
      <c r="F205" s="59" t="s">
        <v>2467</v>
      </c>
      <c r="G205" s="59" t="s">
        <v>2468</v>
      </c>
      <c r="J205" s="59">
        <v>850</v>
      </c>
      <c r="K205" s="59" t="s">
        <v>2469</v>
      </c>
      <c r="O205" s="59" t="s">
        <v>1901</v>
      </c>
      <c r="P205" s="59" t="b">
        <f>List129[[#This Row],[Income2018]]=List129[[#This Row],[Income]]</f>
        <v>1</v>
      </c>
      <c r="Q205" s="59" t="s">
        <v>2470</v>
      </c>
      <c r="R205" s="59" t="s">
        <v>240</v>
      </c>
      <c r="S205" s="59" t="e">
        <f>VLOOKUP(List129[[#This Row],[Afkorting]],$AF$288:$AF$307,1,FALSE)</f>
        <v>#N/A</v>
      </c>
      <c r="T205" s="59" t="s">
        <v>240</v>
      </c>
      <c r="U205" s="59" t="s">
        <v>1886</v>
      </c>
      <c r="V205" s="59" t="s">
        <v>240</v>
      </c>
      <c r="W205" s="59" t="s">
        <v>240</v>
      </c>
      <c r="X205" s="59" t="s">
        <v>240</v>
      </c>
      <c r="Y205" s="59" t="e">
        <v>#N/A</v>
      </c>
      <c r="Z205" s="61" t="e">
        <f>IF(OR(List129[[#This Row],[Fragile 2018]]=1,List129[[#This Row],[Income]]="LDC"),1,"")</f>
        <v>#N/A</v>
      </c>
      <c r="AA205" s="59" t="s">
        <v>240</v>
      </c>
      <c r="AB205" s="59" t="s">
        <v>240</v>
      </c>
      <c r="AC205" s="59" t="s">
        <v>240</v>
      </c>
      <c r="AD205" s="59" t="s">
        <v>240</v>
      </c>
      <c r="AE205" s="59" t="s">
        <v>240</v>
      </c>
      <c r="AF205" s="59" t="s">
        <v>240</v>
      </c>
      <c r="AG205" s="59" t="s">
        <v>240</v>
      </c>
      <c r="AH205" s="59" t="s">
        <v>240</v>
      </c>
      <c r="AI205" s="59" t="s">
        <v>240</v>
      </c>
      <c r="AJ205" s="59" t="s">
        <v>240</v>
      </c>
      <c r="AK205" s="59" t="s">
        <v>240</v>
      </c>
      <c r="AL205" s="59" t="s">
        <v>240</v>
      </c>
      <c r="AN205" s="59" t="s">
        <v>2464</v>
      </c>
    </row>
    <row r="206" spans="1:40" x14ac:dyDescent="0.2">
      <c r="A206" s="59">
        <v>624</v>
      </c>
      <c r="C206" s="59" t="s">
        <v>2471</v>
      </c>
      <c r="D206" s="59" t="s">
        <v>2472</v>
      </c>
      <c r="E206" s="59" t="s">
        <v>2473</v>
      </c>
      <c r="F206" s="59" t="s">
        <v>2474</v>
      </c>
      <c r="J206" s="59">
        <v>858</v>
      </c>
      <c r="K206" s="59" t="s">
        <v>2475</v>
      </c>
      <c r="O206" s="59" t="s">
        <v>1901</v>
      </c>
      <c r="P206" s="59" t="b">
        <f>List129[[#This Row],[Income2018]]=List129[[#This Row],[Income]]</f>
        <v>1</v>
      </c>
      <c r="Q206" s="59" t="s">
        <v>2476</v>
      </c>
      <c r="R206" s="59" t="s">
        <v>240</v>
      </c>
      <c r="S206" s="59" t="e">
        <f>VLOOKUP(List129[[#This Row],[Afkorting]],$AF$288:$AF$307,1,FALSE)</f>
        <v>#N/A</v>
      </c>
      <c r="T206" s="59" t="s">
        <v>240</v>
      </c>
      <c r="U206" s="59" t="s">
        <v>1886</v>
      </c>
      <c r="V206" s="59" t="s">
        <v>240</v>
      </c>
      <c r="W206" s="59" t="s">
        <v>240</v>
      </c>
      <c r="X206" s="59" t="s">
        <v>240</v>
      </c>
      <c r="Y206" s="59" t="e">
        <v>#N/A</v>
      </c>
      <c r="Z206" s="61" t="e">
        <f>IF(OR(List129[[#This Row],[Fragile 2018]]=1,List129[[#This Row],[Income]]="LDC"),1,"")</f>
        <v>#N/A</v>
      </c>
      <c r="AA206" s="59" t="s">
        <v>240</v>
      </c>
      <c r="AB206" s="59" t="s">
        <v>240</v>
      </c>
      <c r="AC206" s="59" t="s">
        <v>240</v>
      </c>
      <c r="AD206" s="59" t="s">
        <v>240</v>
      </c>
      <c r="AE206" s="59" t="s">
        <v>240</v>
      </c>
      <c r="AF206" s="59" t="s">
        <v>240</v>
      </c>
      <c r="AG206" s="59" t="s">
        <v>240</v>
      </c>
      <c r="AH206" s="59" t="s">
        <v>240</v>
      </c>
      <c r="AI206" s="59" t="s">
        <v>240</v>
      </c>
      <c r="AJ206" s="59" t="s">
        <v>240</v>
      </c>
      <c r="AK206" s="59" t="s">
        <v>240</v>
      </c>
      <c r="AL206" s="59" t="s">
        <v>240</v>
      </c>
      <c r="AN206" s="59" t="s">
        <v>2471</v>
      </c>
    </row>
    <row r="207" spans="1:40" x14ac:dyDescent="0.2">
      <c r="A207" s="59">
        <v>121</v>
      </c>
      <c r="C207" s="59" t="s">
        <v>2477</v>
      </c>
      <c r="D207" s="59" t="s">
        <v>2478</v>
      </c>
      <c r="E207" s="59" t="s">
        <v>2479</v>
      </c>
      <c r="F207" s="59" t="s">
        <v>2480</v>
      </c>
      <c r="G207" s="59" t="s">
        <v>2481</v>
      </c>
      <c r="K207" s="59" t="s">
        <v>2480</v>
      </c>
      <c r="O207" s="59" t="s">
        <v>2201</v>
      </c>
      <c r="P207" s="59" t="b">
        <f>List129[[#This Row],[Income2018]]=List129[[#This Row],[Income]]</f>
        <v>1</v>
      </c>
      <c r="Q207" s="59" t="s">
        <v>2201</v>
      </c>
      <c r="R207" s="59" t="s">
        <v>240</v>
      </c>
      <c r="S207" s="59" t="e">
        <f>VLOOKUP(List129[[#This Row],[Afkorting]],$AF$288:$AF$307,1,FALSE)</f>
        <v>#N/A</v>
      </c>
      <c r="T207" s="59" t="s">
        <v>240</v>
      </c>
      <c r="U207" s="59" t="s">
        <v>240</v>
      </c>
      <c r="V207" s="59" t="s">
        <v>240</v>
      </c>
      <c r="W207" s="59" t="s">
        <v>240</v>
      </c>
      <c r="X207" s="59" t="s">
        <v>240</v>
      </c>
      <c r="Y207" s="59" t="e">
        <v>#N/A</v>
      </c>
      <c r="Z207" s="61" t="e">
        <f>IF(OR(List129[[#This Row],[Fragile 2018]]=1,List129[[#This Row],[Income]]="LDC"),1,"")</f>
        <v>#N/A</v>
      </c>
      <c r="AA207" s="59" t="s">
        <v>240</v>
      </c>
      <c r="AB207" s="59" t="s">
        <v>240</v>
      </c>
      <c r="AC207" s="59" t="s">
        <v>240</v>
      </c>
      <c r="AD207" s="59" t="s">
        <v>240</v>
      </c>
      <c r="AE207" s="59" t="s">
        <v>240</v>
      </c>
      <c r="AF207" s="59" t="s">
        <v>240</v>
      </c>
      <c r="AG207" s="59" t="s">
        <v>240</v>
      </c>
      <c r="AH207" s="59" t="s">
        <v>240</v>
      </c>
      <c r="AI207" s="59" t="s">
        <v>240</v>
      </c>
      <c r="AJ207" s="59" t="s">
        <v>240</v>
      </c>
      <c r="AK207" s="59" t="s">
        <v>240</v>
      </c>
      <c r="AL207" s="59" t="s">
        <v>240</v>
      </c>
      <c r="AN207" s="59" t="s">
        <v>2477</v>
      </c>
    </row>
    <row r="208" spans="1:40" x14ac:dyDescent="0.2">
      <c r="A208" s="59">
        <v>105</v>
      </c>
      <c r="C208" s="59" t="s">
        <v>2482</v>
      </c>
      <c r="D208" s="59" t="s">
        <v>2483</v>
      </c>
      <c r="E208" s="59" t="s">
        <v>2484</v>
      </c>
      <c r="F208" s="59" t="s">
        <v>2485</v>
      </c>
      <c r="G208" s="59" t="s">
        <v>969</v>
      </c>
      <c r="K208" s="59" t="s">
        <v>2485</v>
      </c>
      <c r="O208" s="59" t="s">
        <v>2201</v>
      </c>
      <c r="P208" s="59" t="b">
        <f>List129[[#This Row],[Income2018]]=List129[[#This Row],[Income]]</f>
        <v>1</v>
      </c>
      <c r="Q208" s="59" t="s">
        <v>2201</v>
      </c>
      <c r="R208" s="59" t="s">
        <v>240</v>
      </c>
      <c r="S208" s="59" t="e">
        <f>VLOOKUP(List129[[#This Row],[Afkorting]],$AF$288:$AF$307,1,FALSE)</f>
        <v>#N/A</v>
      </c>
      <c r="T208" s="59" t="s">
        <v>240</v>
      </c>
      <c r="U208" s="59" t="s">
        <v>240</v>
      </c>
      <c r="V208" s="59" t="s">
        <v>240</v>
      </c>
      <c r="W208" s="59" t="s">
        <v>240</v>
      </c>
      <c r="X208" s="59" t="s">
        <v>240</v>
      </c>
      <c r="Y208" s="59" t="e">
        <v>#N/A</v>
      </c>
      <c r="Z208" s="61" t="e">
        <f>IF(OR(List129[[#This Row],[Fragile 2018]]=1,List129[[#This Row],[Income]]="LDC"),1,"")</f>
        <v>#N/A</v>
      </c>
      <c r="AA208" s="59" t="s">
        <v>240</v>
      </c>
      <c r="AB208" s="59" t="s">
        <v>240</v>
      </c>
      <c r="AC208" s="59" t="s">
        <v>240</v>
      </c>
      <c r="AD208" s="59" t="s">
        <v>240</v>
      </c>
      <c r="AE208" s="59" t="s">
        <v>240</v>
      </c>
      <c r="AF208" s="59" t="s">
        <v>240</v>
      </c>
      <c r="AG208" s="59" t="s">
        <v>240</v>
      </c>
      <c r="AH208" s="59" t="s">
        <v>240</v>
      </c>
      <c r="AI208" s="59" t="s">
        <v>240</v>
      </c>
      <c r="AJ208" s="59" t="s">
        <v>240</v>
      </c>
      <c r="AK208" s="59" t="s">
        <v>240</v>
      </c>
      <c r="AL208" s="59" t="s">
        <v>240</v>
      </c>
      <c r="AN208" s="59" t="s">
        <v>2482</v>
      </c>
    </row>
    <row r="209" spans="1:40" x14ac:dyDescent="0.2">
      <c r="A209" s="59">
        <v>487</v>
      </c>
      <c r="C209" s="59" t="s">
        <v>2486</v>
      </c>
      <c r="D209" s="59" t="s">
        <v>2486</v>
      </c>
      <c r="E209" s="59" t="s">
        <v>2487</v>
      </c>
      <c r="F209" s="59" t="s">
        <v>2488</v>
      </c>
      <c r="G209" s="59" t="s">
        <v>2489</v>
      </c>
      <c r="K209" s="59" t="s">
        <v>2490</v>
      </c>
      <c r="O209" s="59" t="s">
        <v>2201</v>
      </c>
      <c r="P209" s="59" t="b">
        <f>List129[[#This Row],[Income2018]]=List129[[#This Row],[Income]]</f>
        <v>1</v>
      </c>
      <c r="Q209" s="59" t="s">
        <v>2201</v>
      </c>
      <c r="R209" s="59" t="s">
        <v>240</v>
      </c>
      <c r="S209" s="59" t="e">
        <f>VLOOKUP(List129[[#This Row],[Afkorting]],$AF$288:$AF$307,1,FALSE)</f>
        <v>#N/A</v>
      </c>
      <c r="T209" s="59" t="s">
        <v>240</v>
      </c>
      <c r="U209" s="59" t="s">
        <v>1886</v>
      </c>
      <c r="V209" s="59" t="s">
        <v>240</v>
      </c>
      <c r="W209" s="59" t="s">
        <v>240</v>
      </c>
      <c r="X209" s="59" t="s">
        <v>240</v>
      </c>
      <c r="Y209" s="59" t="e">
        <v>#N/A</v>
      </c>
      <c r="Z209" s="61" t="e">
        <f>IF(OR(List129[[#This Row],[Fragile 2018]]=1,List129[[#This Row],[Income]]="LDC"),1,"")</f>
        <v>#N/A</v>
      </c>
      <c r="AA209" s="59" t="s">
        <v>240</v>
      </c>
      <c r="AB209" s="59" t="s">
        <v>240</v>
      </c>
      <c r="AC209" s="59" t="s">
        <v>240</v>
      </c>
      <c r="AD209" s="59" t="s">
        <v>240</v>
      </c>
      <c r="AE209" s="59" t="s">
        <v>240</v>
      </c>
      <c r="AF209" s="59" t="s">
        <v>240</v>
      </c>
      <c r="AG209" s="59" t="s">
        <v>240</v>
      </c>
      <c r="AH209" s="59" t="s">
        <v>240</v>
      </c>
      <c r="AI209" s="59" t="s">
        <v>240</v>
      </c>
      <c r="AJ209" s="59" t="s">
        <v>240</v>
      </c>
      <c r="AK209" s="59" t="s">
        <v>240</v>
      </c>
      <c r="AL209" s="59" t="s">
        <v>240</v>
      </c>
      <c r="AN209" s="59" t="s">
        <v>2486</v>
      </c>
    </row>
    <row r="210" spans="1:40" x14ac:dyDescent="0.2">
      <c r="A210" s="59">
        <v>914</v>
      </c>
      <c r="C210" s="59" t="s">
        <v>2491</v>
      </c>
      <c r="D210" s="59" t="s">
        <v>2492</v>
      </c>
      <c r="E210" s="59" t="s">
        <v>2493</v>
      </c>
      <c r="F210" s="59" t="s">
        <v>2494</v>
      </c>
      <c r="J210" s="59">
        <v>105</v>
      </c>
      <c r="K210" s="59" t="s">
        <v>2494</v>
      </c>
      <c r="O210" s="59" t="s">
        <v>2201</v>
      </c>
      <c r="P210" s="59" t="b">
        <f>List129[[#This Row],[Income2018]]=List129[[#This Row],[Income]]</f>
        <v>1</v>
      </c>
      <c r="Q210" s="59" t="s">
        <v>2201</v>
      </c>
      <c r="R210" s="59" t="s">
        <v>240</v>
      </c>
      <c r="S210" s="59" t="e">
        <f>VLOOKUP(List129[[#This Row],[Afkorting]],$AF$288:$AF$307,1,FALSE)</f>
        <v>#N/A</v>
      </c>
      <c r="T210" s="59" t="s">
        <v>240</v>
      </c>
      <c r="U210" s="59" t="s">
        <v>240</v>
      </c>
      <c r="V210" s="59" t="s">
        <v>240</v>
      </c>
      <c r="W210" s="59" t="s">
        <v>240</v>
      </c>
      <c r="X210" s="59" t="s">
        <v>240</v>
      </c>
      <c r="Y210" s="59" t="e">
        <v>#N/A</v>
      </c>
      <c r="Z210" s="61" t="e">
        <f>IF(OR(List129[[#This Row],[Fragile 2018]]=1,List129[[#This Row],[Income]]="LDC"),1,"")</f>
        <v>#N/A</v>
      </c>
      <c r="AA210" s="59" t="s">
        <v>240</v>
      </c>
      <c r="AB210" s="59" t="s">
        <v>240</v>
      </c>
      <c r="AC210" s="59" t="s">
        <v>240</v>
      </c>
      <c r="AD210" s="59" t="s">
        <v>240</v>
      </c>
      <c r="AE210" s="59" t="s">
        <v>240</v>
      </c>
      <c r="AF210" s="59" t="s">
        <v>240</v>
      </c>
      <c r="AG210" s="59" t="s">
        <v>240</v>
      </c>
      <c r="AH210" s="59" t="s">
        <v>240</v>
      </c>
      <c r="AI210" s="59" t="s">
        <v>240</v>
      </c>
      <c r="AJ210" s="59" t="s">
        <v>240</v>
      </c>
      <c r="AK210" s="59" t="s">
        <v>240</v>
      </c>
      <c r="AL210" s="59" t="s">
        <v>240</v>
      </c>
      <c r="AN210" s="59" t="s">
        <v>2491</v>
      </c>
    </row>
    <row r="211" spans="1:40" x14ac:dyDescent="0.2">
      <c r="A211" s="59">
        <v>913</v>
      </c>
      <c r="C211" s="59" t="s">
        <v>2495</v>
      </c>
      <c r="D211" s="59" t="s">
        <v>2496</v>
      </c>
      <c r="E211" s="59" t="s">
        <v>2497</v>
      </c>
      <c r="F211" s="59" t="s">
        <v>2498</v>
      </c>
      <c r="J211" s="59">
        <v>79</v>
      </c>
      <c r="K211" s="59" t="s">
        <v>2499</v>
      </c>
      <c r="O211" s="59" t="s">
        <v>2201</v>
      </c>
      <c r="P211" s="59" t="b">
        <f>List129[[#This Row],[Income2018]]=List129[[#This Row],[Income]]</f>
        <v>1</v>
      </c>
      <c r="Q211" s="59" t="s">
        <v>2201</v>
      </c>
      <c r="R211" s="59" t="s">
        <v>240</v>
      </c>
      <c r="S211" s="59" t="e">
        <f>VLOOKUP(List129[[#This Row],[Afkorting]],$AF$288:$AF$307,1,FALSE)</f>
        <v>#N/A</v>
      </c>
      <c r="T211" s="59" t="s">
        <v>240</v>
      </c>
      <c r="U211" s="59" t="s">
        <v>240</v>
      </c>
      <c r="V211" s="59" t="s">
        <v>240</v>
      </c>
      <c r="W211" s="59" t="s">
        <v>240</v>
      </c>
      <c r="X211" s="59" t="s">
        <v>240</v>
      </c>
      <c r="Y211" s="59" t="e">
        <v>#N/A</v>
      </c>
      <c r="Z211" s="61" t="e">
        <f>IF(OR(List129[[#This Row],[Fragile 2018]]=1,List129[[#This Row],[Income]]="LDC"),1,"")</f>
        <v>#N/A</v>
      </c>
      <c r="AA211" s="59" t="s">
        <v>240</v>
      </c>
      <c r="AB211" s="59" t="s">
        <v>240</v>
      </c>
      <c r="AC211" s="59" t="s">
        <v>240</v>
      </c>
      <c r="AD211" s="59" t="s">
        <v>240</v>
      </c>
      <c r="AE211" s="59" t="s">
        <v>240</v>
      </c>
      <c r="AF211" s="59" t="s">
        <v>240</v>
      </c>
      <c r="AG211" s="59" t="s">
        <v>240</v>
      </c>
      <c r="AH211" s="59" t="s">
        <v>240</v>
      </c>
      <c r="AI211" s="59" t="s">
        <v>240</v>
      </c>
      <c r="AJ211" s="59" t="s">
        <v>240</v>
      </c>
      <c r="AK211" s="59" t="s">
        <v>240</v>
      </c>
      <c r="AL211" s="59" t="s">
        <v>240</v>
      </c>
      <c r="AN211" s="59" t="s">
        <v>2495</v>
      </c>
    </row>
    <row r="212" spans="1:40" x14ac:dyDescent="0.2">
      <c r="A212" s="59">
        <v>690</v>
      </c>
      <c r="C212" s="59" t="s">
        <v>2500</v>
      </c>
      <c r="D212" s="59" t="s">
        <v>2501</v>
      </c>
      <c r="E212" s="59" t="s">
        <v>2502</v>
      </c>
      <c r="F212" s="59" t="s">
        <v>2503</v>
      </c>
      <c r="K212" s="59" t="s">
        <v>1228</v>
      </c>
      <c r="O212" s="59" t="s">
        <v>2201</v>
      </c>
      <c r="P212" s="59" t="b">
        <f>List129[[#This Row],[Income2018]]=List129[[#This Row],[Income]]</f>
        <v>1</v>
      </c>
      <c r="Q212" s="59" t="s">
        <v>2201</v>
      </c>
      <c r="R212" s="59" t="s">
        <v>240</v>
      </c>
      <c r="S212" s="59" t="e">
        <f>VLOOKUP(List129[[#This Row],[Afkorting]],$AF$288:$AF$307,1,FALSE)</f>
        <v>#N/A</v>
      </c>
      <c r="T212" s="59" t="s">
        <v>240</v>
      </c>
      <c r="U212" s="59" t="s">
        <v>1886</v>
      </c>
      <c r="V212" s="59" t="s">
        <v>240</v>
      </c>
      <c r="W212" s="59" t="s">
        <v>240</v>
      </c>
      <c r="X212" s="59" t="s">
        <v>240</v>
      </c>
      <c r="Y212" s="59" t="e">
        <v>#N/A</v>
      </c>
      <c r="Z212" s="61" t="e">
        <f>IF(OR(List129[[#This Row],[Fragile 2018]]=1,List129[[#This Row],[Income]]="LDC"),1,"")</f>
        <v>#N/A</v>
      </c>
      <c r="AA212" s="59" t="s">
        <v>240</v>
      </c>
      <c r="AB212" s="59" t="s">
        <v>240</v>
      </c>
      <c r="AC212" s="59" t="s">
        <v>240</v>
      </c>
      <c r="AD212" s="59" t="s">
        <v>240</v>
      </c>
      <c r="AE212" s="59" t="s">
        <v>240</v>
      </c>
      <c r="AF212" s="59" t="s">
        <v>240</v>
      </c>
      <c r="AG212" s="59" t="s">
        <v>240</v>
      </c>
      <c r="AH212" s="59" t="s">
        <v>240</v>
      </c>
      <c r="AI212" s="59" t="s">
        <v>240</v>
      </c>
      <c r="AJ212" s="59" t="s">
        <v>240</v>
      </c>
      <c r="AK212" s="59" t="s">
        <v>240</v>
      </c>
      <c r="AL212" s="59" t="s">
        <v>240</v>
      </c>
      <c r="AN212" s="59" t="s">
        <v>2500</v>
      </c>
    </row>
    <row r="213" spans="1:40" x14ac:dyDescent="0.2">
      <c r="A213" s="59">
        <v>252</v>
      </c>
      <c r="C213" s="59" t="s">
        <v>2504</v>
      </c>
      <c r="D213" s="59" t="s">
        <v>2505</v>
      </c>
      <c r="E213" s="59" t="s">
        <v>2506</v>
      </c>
      <c r="F213" s="59" t="s">
        <v>2507</v>
      </c>
      <c r="G213" s="59" t="s">
        <v>2508</v>
      </c>
      <c r="I213" s="59">
        <v>798</v>
      </c>
      <c r="J213" s="59">
        <v>566</v>
      </c>
      <c r="K213" s="59" t="s">
        <v>2507</v>
      </c>
      <c r="L213" s="59" t="s">
        <v>1253</v>
      </c>
      <c r="O213" s="59" t="s">
        <v>1901</v>
      </c>
      <c r="P213" s="59" t="b">
        <f>List129[[#This Row],[Income2018]]=List129[[#This Row],[Income]]</f>
        <v>1</v>
      </c>
      <c r="Q213" s="59" t="s">
        <v>2509</v>
      </c>
      <c r="R213" s="59" t="s">
        <v>240</v>
      </c>
      <c r="S213" s="59" t="e">
        <f>VLOOKUP(List129[[#This Row],[Afkorting]],$AF$288:$AF$307,1,FALSE)</f>
        <v>#N/A</v>
      </c>
      <c r="T213" s="59" t="s">
        <v>240</v>
      </c>
      <c r="U213" s="59" t="s">
        <v>240</v>
      </c>
      <c r="V213" s="59" t="s">
        <v>240</v>
      </c>
      <c r="W213" s="59" t="s">
        <v>240</v>
      </c>
      <c r="X213" s="59" t="s">
        <v>240</v>
      </c>
      <c r="Y213" s="59" t="e">
        <v>#N/A</v>
      </c>
      <c r="Z213" s="61" t="e">
        <f>IF(OR(List129[[#This Row],[Fragile 2018]]=1,List129[[#This Row],[Income]]="LDC"),1,"")</f>
        <v>#N/A</v>
      </c>
      <c r="AA213" s="59" t="s">
        <v>240</v>
      </c>
      <c r="AB213" s="59" t="s">
        <v>240</v>
      </c>
      <c r="AC213" s="59" t="s">
        <v>240</v>
      </c>
      <c r="AD213" s="59" t="s">
        <v>240</v>
      </c>
      <c r="AE213" s="59" t="s">
        <v>240</v>
      </c>
      <c r="AF213" s="59" t="s">
        <v>240</v>
      </c>
      <c r="AG213" s="59" t="s">
        <v>240</v>
      </c>
      <c r="AH213" s="59" t="s">
        <v>240</v>
      </c>
      <c r="AI213" s="59" t="s">
        <v>240</v>
      </c>
      <c r="AJ213" s="59" t="s">
        <v>1886</v>
      </c>
      <c r="AK213" s="59" t="s">
        <v>240</v>
      </c>
      <c r="AL213" s="59" t="s">
        <v>240</v>
      </c>
      <c r="AM213" s="59">
        <v>234</v>
      </c>
      <c r="AN213" s="59" t="s">
        <v>2504</v>
      </c>
    </row>
    <row r="214" spans="1:40" x14ac:dyDescent="0.2">
      <c r="A214" s="59">
        <v>132</v>
      </c>
      <c r="C214" s="59" t="s">
        <v>2510</v>
      </c>
      <c r="D214" s="59" t="s">
        <v>2511</v>
      </c>
      <c r="E214" s="59" t="s">
        <v>2512</v>
      </c>
      <c r="F214" s="59" t="s">
        <v>2513</v>
      </c>
      <c r="J214" s="59">
        <v>67</v>
      </c>
      <c r="K214" s="59" t="s">
        <v>2514</v>
      </c>
      <c r="O214" s="59" t="s">
        <v>2201</v>
      </c>
      <c r="P214" s="59" t="b">
        <f>List129[[#This Row],[Income2018]]=List129[[#This Row],[Income]]</f>
        <v>1</v>
      </c>
      <c r="Q214" s="59" t="s">
        <v>2201</v>
      </c>
      <c r="R214" s="59" t="s">
        <v>240</v>
      </c>
      <c r="S214" s="59" t="e">
        <f>VLOOKUP(List129[[#This Row],[Afkorting]],$AF$288:$AF$307,1,FALSE)</f>
        <v>#N/A</v>
      </c>
      <c r="T214" s="59" t="s">
        <v>240</v>
      </c>
      <c r="U214" s="59" t="s">
        <v>240</v>
      </c>
      <c r="V214" s="59" t="s">
        <v>240</v>
      </c>
      <c r="W214" s="59" t="s">
        <v>240</v>
      </c>
      <c r="X214" s="59" t="s">
        <v>240</v>
      </c>
      <c r="Y214" s="59" t="e">
        <v>#N/A</v>
      </c>
      <c r="Z214" s="61" t="e">
        <f>IF(OR(List129[[#This Row],[Fragile 2018]]=1,List129[[#This Row],[Income]]="LDC"),1,"")</f>
        <v>#N/A</v>
      </c>
      <c r="AA214" s="59" t="s">
        <v>240</v>
      </c>
      <c r="AB214" s="59" t="s">
        <v>240</v>
      </c>
      <c r="AC214" s="59" t="s">
        <v>240</v>
      </c>
      <c r="AD214" s="59" t="s">
        <v>240</v>
      </c>
      <c r="AE214" s="59" t="s">
        <v>240</v>
      </c>
      <c r="AF214" s="59" t="s">
        <v>240</v>
      </c>
      <c r="AG214" s="59" t="s">
        <v>240</v>
      </c>
      <c r="AH214" s="59" t="s">
        <v>240</v>
      </c>
      <c r="AI214" s="59" t="s">
        <v>240</v>
      </c>
      <c r="AJ214" s="59" t="s">
        <v>240</v>
      </c>
      <c r="AK214" s="59" t="s">
        <v>240</v>
      </c>
      <c r="AL214" s="59" t="s">
        <v>240</v>
      </c>
      <c r="AN214" s="59" t="s">
        <v>2510</v>
      </c>
    </row>
    <row r="215" spans="1:40" x14ac:dyDescent="0.2">
      <c r="A215" s="59">
        <v>205</v>
      </c>
      <c r="C215" s="59" t="s">
        <v>2515</v>
      </c>
      <c r="D215" s="59" t="s">
        <v>2516</v>
      </c>
      <c r="E215" s="59" t="s">
        <v>2515</v>
      </c>
      <c r="F215" s="59" t="s">
        <v>2517</v>
      </c>
      <c r="G215" s="59" t="s">
        <v>2518</v>
      </c>
      <c r="J215" s="59">
        <v>761</v>
      </c>
      <c r="K215" s="59" t="s">
        <v>2519</v>
      </c>
      <c r="O215" s="59" t="s">
        <v>1901</v>
      </c>
      <c r="P215" s="59" t="b">
        <f>List129[[#This Row],[Income2018]]=List129[[#This Row],[Income]]</f>
        <v>1</v>
      </c>
      <c r="Q215" s="59" t="s">
        <v>2520</v>
      </c>
      <c r="R215" s="59" t="s">
        <v>240</v>
      </c>
      <c r="S215" s="59" t="e">
        <f>VLOOKUP(List129[[#This Row],[Afkorting]],$AF$288:$AF$307,1,FALSE)</f>
        <v>#N/A</v>
      </c>
      <c r="T215" s="59" t="s">
        <v>240</v>
      </c>
      <c r="U215" s="59" t="s">
        <v>1886</v>
      </c>
      <c r="V215" s="59" t="s">
        <v>240</v>
      </c>
      <c r="W215" s="59" t="s">
        <v>240</v>
      </c>
      <c r="X215" s="59" t="s">
        <v>240</v>
      </c>
      <c r="Y215" s="59" t="e">
        <v>#N/A</v>
      </c>
      <c r="Z215" s="61" t="e">
        <f>IF(OR(List129[[#This Row],[Fragile 2018]]=1,List129[[#This Row],[Income]]="LDC"),1,"")</f>
        <v>#N/A</v>
      </c>
      <c r="AA215" s="59" t="s">
        <v>240</v>
      </c>
      <c r="AB215" s="59" t="s">
        <v>240</v>
      </c>
      <c r="AC215" s="59" t="s">
        <v>240</v>
      </c>
      <c r="AD215" s="59" t="s">
        <v>240</v>
      </c>
      <c r="AE215" s="59" t="s">
        <v>240</v>
      </c>
      <c r="AF215" s="59" t="s">
        <v>240</v>
      </c>
      <c r="AG215" s="59" t="s">
        <v>240</v>
      </c>
      <c r="AH215" s="59" t="s">
        <v>240</v>
      </c>
      <c r="AI215" s="59" t="s">
        <v>240</v>
      </c>
      <c r="AJ215" s="59" t="s">
        <v>240</v>
      </c>
      <c r="AK215" s="59" t="s">
        <v>240</v>
      </c>
      <c r="AL215" s="59" t="s">
        <v>240</v>
      </c>
      <c r="AN215" s="59" t="s">
        <v>2515</v>
      </c>
    </row>
    <row r="216" spans="1:40" x14ac:dyDescent="0.2">
      <c r="A216" s="59">
        <v>109</v>
      </c>
      <c r="C216" s="59" t="s">
        <v>2521</v>
      </c>
      <c r="D216" s="59" t="s">
        <v>2522</v>
      </c>
      <c r="E216" s="59" t="s">
        <v>2523</v>
      </c>
      <c r="F216" s="59" t="s">
        <v>2524</v>
      </c>
      <c r="G216" s="59" t="s">
        <v>2525</v>
      </c>
      <c r="K216" s="59" t="s">
        <v>2524</v>
      </c>
      <c r="O216" s="59" t="s">
        <v>2201</v>
      </c>
      <c r="P216" s="59" t="b">
        <f>List129[[#This Row],[Income2018]]=List129[[#This Row],[Income]]</f>
        <v>1</v>
      </c>
      <c r="Q216" s="59" t="s">
        <v>2201</v>
      </c>
      <c r="R216" s="59" t="s">
        <v>240</v>
      </c>
      <c r="S216" s="59" t="e">
        <f>VLOOKUP(List129[[#This Row],[Afkorting]],$AF$288:$AF$307,1,FALSE)</f>
        <v>#N/A</v>
      </c>
      <c r="T216" s="59" t="s">
        <v>240</v>
      </c>
      <c r="U216" s="59" t="s">
        <v>240</v>
      </c>
      <c r="V216" s="59" t="s">
        <v>240</v>
      </c>
      <c r="W216" s="59" t="s">
        <v>240</v>
      </c>
      <c r="X216" s="59" t="s">
        <v>240</v>
      </c>
      <c r="Y216" s="59" t="e">
        <v>#N/A</v>
      </c>
      <c r="Z216" s="61" t="e">
        <f>IF(OR(List129[[#This Row],[Fragile 2018]]=1,List129[[#This Row],[Income]]="LDC"),1,"")</f>
        <v>#N/A</v>
      </c>
      <c r="AA216" s="59" t="s">
        <v>240</v>
      </c>
      <c r="AB216" s="59" t="s">
        <v>240</v>
      </c>
      <c r="AC216" s="59" t="s">
        <v>240</v>
      </c>
      <c r="AD216" s="59" t="s">
        <v>240</v>
      </c>
      <c r="AE216" s="59" t="s">
        <v>240</v>
      </c>
      <c r="AF216" s="59" t="s">
        <v>240</v>
      </c>
      <c r="AG216" s="59" t="s">
        <v>240</v>
      </c>
      <c r="AH216" s="59" t="s">
        <v>240</v>
      </c>
      <c r="AI216" s="59" t="s">
        <v>240</v>
      </c>
      <c r="AJ216" s="59" t="s">
        <v>240</v>
      </c>
      <c r="AK216" s="59" t="s">
        <v>240</v>
      </c>
      <c r="AL216" s="59" t="s">
        <v>240</v>
      </c>
      <c r="AN216" s="59" t="s">
        <v>2521</v>
      </c>
    </row>
    <row r="217" spans="1:40" x14ac:dyDescent="0.2">
      <c r="A217" s="59">
        <v>204</v>
      </c>
      <c r="C217" s="59" t="s">
        <v>2526</v>
      </c>
      <c r="D217" s="59" t="s">
        <v>2526</v>
      </c>
      <c r="E217" s="59" t="s">
        <v>2526</v>
      </c>
      <c r="F217" s="59" t="s">
        <v>2527</v>
      </c>
      <c r="K217" s="59" t="s">
        <v>2528</v>
      </c>
      <c r="O217" s="59" t="s">
        <v>2201</v>
      </c>
      <c r="P217" s="59" t="b">
        <f>List129[[#This Row],[Income2018]]=List129[[#This Row],[Income]]</f>
        <v>1</v>
      </c>
      <c r="Q217" s="59" t="s">
        <v>2201</v>
      </c>
      <c r="R217" s="59" t="s">
        <v>240</v>
      </c>
      <c r="S217" s="59" t="e">
        <f>VLOOKUP(List129[[#This Row],[Afkorting]],$AF$288:$AF$307,1,FALSE)</f>
        <v>#N/A</v>
      </c>
      <c r="T217" s="59" t="s">
        <v>240</v>
      </c>
      <c r="U217" s="59" t="s">
        <v>240</v>
      </c>
      <c r="V217" s="59" t="s">
        <v>240</v>
      </c>
      <c r="W217" s="59" t="s">
        <v>240</v>
      </c>
      <c r="X217" s="59" t="s">
        <v>240</v>
      </c>
      <c r="Y217" s="59" t="e">
        <v>#N/A</v>
      </c>
      <c r="Z217" s="61" t="e">
        <f>IF(OR(List129[[#This Row],[Fragile 2018]]=1,List129[[#This Row],[Income]]="LDC"),1,"")</f>
        <v>#N/A</v>
      </c>
      <c r="AA217" s="59" t="s">
        <v>240</v>
      </c>
      <c r="AB217" s="59" t="s">
        <v>240</v>
      </c>
      <c r="AC217" s="59" t="s">
        <v>240</v>
      </c>
      <c r="AD217" s="59" t="s">
        <v>240</v>
      </c>
      <c r="AE217" s="59" t="s">
        <v>240</v>
      </c>
      <c r="AF217" s="59" t="s">
        <v>240</v>
      </c>
      <c r="AG217" s="59" t="s">
        <v>240</v>
      </c>
      <c r="AH217" s="59" t="s">
        <v>240</v>
      </c>
      <c r="AI217" s="59" t="s">
        <v>240</v>
      </c>
      <c r="AJ217" s="59" t="s">
        <v>240</v>
      </c>
      <c r="AK217" s="59" t="s">
        <v>240</v>
      </c>
      <c r="AL217" s="59" t="s">
        <v>240</v>
      </c>
      <c r="AN217" s="59" t="s">
        <v>2526</v>
      </c>
    </row>
    <row r="218" spans="1:40" x14ac:dyDescent="0.2">
      <c r="A218" s="59">
        <v>696</v>
      </c>
      <c r="C218" s="59" t="s">
        <v>1279</v>
      </c>
      <c r="D218" s="59" t="s">
        <v>1279</v>
      </c>
      <c r="E218" s="59" t="s">
        <v>1279</v>
      </c>
      <c r="F218" s="59" t="s">
        <v>1281</v>
      </c>
      <c r="J218" s="59">
        <v>377</v>
      </c>
      <c r="K218" s="59" t="s">
        <v>1904</v>
      </c>
      <c r="O218" s="59" t="s">
        <v>1892</v>
      </c>
      <c r="P218" s="59" t="b">
        <f>List129[[#This Row],[Income2018]]=List129[[#This Row],[Income]]</f>
        <v>1</v>
      </c>
      <c r="Q218" s="59" t="s">
        <v>1905</v>
      </c>
      <c r="S218" s="59" t="e">
        <f>VLOOKUP(List129[[#This Row],[Afkorting]],$AF$288:$AF$307,1,FALSE)</f>
        <v>#N/A</v>
      </c>
      <c r="X218" s="59" t="s">
        <v>240</v>
      </c>
      <c r="Y218" s="59" t="e">
        <v>#N/A</v>
      </c>
      <c r="Z218" s="61" t="e">
        <f>IF(OR(List129[[#This Row],[Fragile 2018]]=1,List129[[#This Row],[Income]]="LDC"),1,"")</f>
        <v>#N/A</v>
      </c>
      <c r="AN218" s="59" t="s">
        <v>1279</v>
      </c>
    </row>
    <row r="219" spans="1:40" x14ac:dyDescent="0.2">
      <c r="A219" s="59">
        <v>997</v>
      </c>
      <c r="C219" s="59" t="s">
        <v>2529</v>
      </c>
      <c r="D219" s="59" t="s">
        <v>2530</v>
      </c>
      <c r="F219" s="59" t="s">
        <v>2531</v>
      </c>
      <c r="O219" s="59" t="s">
        <v>2201</v>
      </c>
      <c r="P219" s="59" t="b">
        <f>List129[[#This Row],[Income2018]]=List129[[#This Row],[Income]]</f>
        <v>1</v>
      </c>
      <c r="Q219" s="59" t="s">
        <v>2201</v>
      </c>
      <c r="S219" s="59" t="e">
        <f>VLOOKUP(List129[[#This Row],[Afkorting]],$AF$288:$AF$307,1,FALSE)</f>
        <v>#N/A</v>
      </c>
      <c r="X219" s="59" t="s">
        <v>240</v>
      </c>
      <c r="Y219" s="59" t="e">
        <v>#N/A</v>
      </c>
      <c r="Z219" s="61" t="e">
        <f>IF(OR(List129[[#This Row],[Fragile 2018]]=1,List129[[#This Row],[Income]]="LDC"),1,"")</f>
        <v>#N/A</v>
      </c>
      <c r="AN219" s="59" t="s">
        <v>2529</v>
      </c>
    </row>
    <row r="220" spans="1:40" x14ac:dyDescent="0.2">
      <c r="A220" s="59">
        <v>996</v>
      </c>
      <c r="C220" s="59" t="s">
        <v>2532</v>
      </c>
      <c r="D220" s="59" t="s">
        <v>2533</v>
      </c>
      <c r="F220" s="59" t="s">
        <v>2534</v>
      </c>
      <c r="O220" s="59" t="s">
        <v>2201</v>
      </c>
      <c r="P220" s="59" t="b">
        <f>List129[[#This Row],[Income2018]]=List129[[#This Row],[Income]]</f>
        <v>1</v>
      </c>
      <c r="Q220" s="59" t="s">
        <v>2201</v>
      </c>
      <c r="S220" s="59" t="e">
        <f>VLOOKUP(List129[[#This Row],[Afkorting]],$AF$288:$AF$307,1,FALSE)</f>
        <v>#N/A</v>
      </c>
      <c r="X220" s="59" t="s">
        <v>240</v>
      </c>
      <c r="Y220" s="59" t="e">
        <v>#N/A</v>
      </c>
      <c r="Z220" s="61" t="e">
        <f>IF(OR(List129[[#This Row],[Fragile 2018]]=1,List129[[#This Row],[Income]]="LDC"),1,"")</f>
        <v>#N/A</v>
      </c>
      <c r="AN220" s="59" t="s">
        <v>2532</v>
      </c>
    </row>
    <row r="221" spans="1:40" x14ac:dyDescent="0.2">
      <c r="A221" s="59">
        <v>611</v>
      </c>
      <c r="C221" s="59" t="s">
        <v>2535</v>
      </c>
      <c r="D221" s="59" t="s">
        <v>2535</v>
      </c>
      <c r="E221" s="59" t="s">
        <v>2536</v>
      </c>
      <c r="F221" s="59" t="s">
        <v>2537</v>
      </c>
      <c r="G221" s="59" t="s">
        <v>2538</v>
      </c>
      <c r="K221" s="59" t="s">
        <v>2537</v>
      </c>
      <c r="O221" s="59" t="s">
        <v>2201</v>
      </c>
      <c r="P221" s="59" t="b">
        <f>List129[[#This Row],[Income2018]]=List129[[#This Row],[Income]]</f>
        <v>1</v>
      </c>
      <c r="Q221" s="59" t="s">
        <v>2201</v>
      </c>
      <c r="S221" s="59" t="e">
        <f>VLOOKUP(List129[[#This Row],[Afkorting]],$AF$288:$AF$307,1,FALSE)</f>
        <v>#N/A</v>
      </c>
      <c r="X221" s="59" t="s">
        <v>240</v>
      </c>
      <c r="Y221" s="59" t="e">
        <v>#N/A</v>
      </c>
      <c r="Z221" s="61" t="e">
        <f>IF(OR(List129[[#This Row],[Fragile 2018]]=1,List129[[#This Row],[Income]]="LDC"),1,"")</f>
        <v>#N/A</v>
      </c>
      <c r="AN221" s="59" t="s">
        <v>2535</v>
      </c>
    </row>
    <row r="222" spans="1:40" x14ac:dyDescent="0.2">
      <c r="A222" s="59">
        <v>698</v>
      </c>
      <c r="C222" s="59" t="s">
        <v>2539</v>
      </c>
      <c r="D222" s="59" t="s">
        <v>2539</v>
      </c>
      <c r="E222" s="59" t="s">
        <v>2539</v>
      </c>
      <c r="O222" s="59" t="s">
        <v>2201</v>
      </c>
      <c r="P222" s="59" t="b">
        <f>List129[[#This Row],[Income2018]]=List129[[#This Row],[Income]]</f>
        <v>1</v>
      </c>
      <c r="Q222" s="59" t="s">
        <v>2201</v>
      </c>
      <c r="S222" s="59" t="e">
        <f>VLOOKUP(List129[[#This Row],[Afkorting]],$AF$288:$AF$307,1,FALSE)</f>
        <v>#N/A</v>
      </c>
      <c r="X222" s="59" t="s">
        <v>240</v>
      </c>
      <c r="Y222" s="59" t="e">
        <v>#N/A</v>
      </c>
      <c r="Z222" s="61" t="e">
        <f>IF(OR(List129[[#This Row],[Fragile 2018]]=1,List129[[#This Row],[Income]]="LDC"),1,"")</f>
        <v>#N/A</v>
      </c>
      <c r="AN222" s="59" t="s">
        <v>2539</v>
      </c>
    </row>
    <row r="223" spans="1:40" x14ac:dyDescent="0.2">
      <c r="A223" s="59">
        <v>697</v>
      </c>
      <c r="C223" s="59" t="s">
        <v>2540</v>
      </c>
      <c r="D223" s="59" t="s">
        <v>2540</v>
      </c>
      <c r="E223" s="59" t="s">
        <v>2540</v>
      </c>
      <c r="J223" s="59">
        <v>377</v>
      </c>
      <c r="K223" s="59" t="s">
        <v>1904</v>
      </c>
      <c r="O223" s="59" t="s">
        <v>1892</v>
      </c>
      <c r="P223" s="59" t="b">
        <f>List129[[#This Row],[Income2018]]=List129[[#This Row],[Income]]</f>
        <v>1</v>
      </c>
      <c r="Q223" s="59" t="s">
        <v>1905</v>
      </c>
      <c r="S223" s="59" t="e">
        <f>VLOOKUP(List129[[#This Row],[Afkorting]],$AF$288:$AF$307,1,FALSE)</f>
        <v>#N/A</v>
      </c>
      <c r="X223" s="59" t="s">
        <v>240</v>
      </c>
      <c r="Y223" s="59" t="e">
        <v>#N/A</v>
      </c>
      <c r="Z223" s="61" t="e">
        <f>IF(OR(List129[[#This Row],[Fragile 2018]]=1,List129[[#This Row],[Income]]="LDC"),1,"")</f>
        <v>#N/A</v>
      </c>
      <c r="AN223" s="59" t="s">
        <v>2540</v>
      </c>
    </row>
    <row r="224" spans="1:40" x14ac:dyDescent="0.2">
      <c r="A224" s="59">
        <v>150</v>
      </c>
      <c r="C224" s="59" t="s">
        <v>2541</v>
      </c>
      <c r="D224" s="59" t="s">
        <v>2542</v>
      </c>
      <c r="E224" s="59" t="s">
        <v>2543</v>
      </c>
      <c r="F224" s="59" t="s">
        <v>2544</v>
      </c>
      <c r="G224" s="59" t="s">
        <v>1242</v>
      </c>
      <c r="K224" s="59" t="s">
        <v>2544</v>
      </c>
      <c r="O224" s="59" t="s">
        <v>2201</v>
      </c>
      <c r="P224" s="59" t="b">
        <f>List129[[#This Row],[Income2018]]=List129[[#This Row],[Income]]</f>
        <v>1</v>
      </c>
      <c r="Q224" s="59" t="s">
        <v>2201</v>
      </c>
      <c r="S224" s="59" t="e">
        <f>VLOOKUP(List129[[#This Row],[Afkorting]],$AF$288:$AF$307,1,FALSE)</f>
        <v>#N/A</v>
      </c>
      <c r="X224" s="59" t="s">
        <v>240</v>
      </c>
      <c r="Y224" s="59" t="e">
        <v>#N/A</v>
      </c>
      <c r="Z224" s="61" t="e">
        <f>IF(OR(List129[[#This Row],[Fragile 2018]]=1,List129[[#This Row],[Income]]="LDC"),1,"")</f>
        <v>#N/A</v>
      </c>
      <c r="AN224" s="59" t="s">
        <v>2541</v>
      </c>
    </row>
    <row r="225" spans="1:40" x14ac:dyDescent="0.2">
      <c r="A225" s="59">
        <v>401</v>
      </c>
      <c r="C225" s="59" t="s">
        <v>2545</v>
      </c>
      <c r="D225" s="59" t="s">
        <v>2545</v>
      </c>
      <c r="E225" s="59" t="s">
        <v>2545</v>
      </c>
      <c r="F225" s="59" t="s">
        <v>2546</v>
      </c>
      <c r="G225" s="59" t="s">
        <v>2547</v>
      </c>
      <c r="K225" s="59" t="s">
        <v>2546</v>
      </c>
      <c r="O225" s="59" t="s">
        <v>2201</v>
      </c>
      <c r="P225" s="59" t="b">
        <f>List129[[#This Row],[Income2018]]=List129[[#This Row],[Income]]</f>
        <v>1</v>
      </c>
      <c r="Q225" s="59" t="s">
        <v>2201</v>
      </c>
      <c r="S225" s="59" t="e">
        <f>VLOOKUP(List129[[#This Row],[Afkorting]],$AF$288:$AF$307,1,FALSE)</f>
        <v>#N/A</v>
      </c>
      <c r="X225" s="59" t="s">
        <v>240</v>
      </c>
      <c r="Y225" s="59" t="e">
        <v>#N/A</v>
      </c>
      <c r="Z225" s="61" t="e">
        <f>IF(OR(List129[[#This Row],[Fragile 2018]]=1,List129[[#This Row],[Income]]="LDC"),1,"")</f>
        <v>#N/A</v>
      </c>
      <c r="AN225" s="59" t="s">
        <v>2545</v>
      </c>
    </row>
    <row r="226" spans="1:40" x14ac:dyDescent="0.2">
      <c r="A226" s="59">
        <v>398</v>
      </c>
      <c r="C226" s="59" t="s">
        <v>2548</v>
      </c>
      <c r="D226" s="59" t="s">
        <v>2549</v>
      </c>
      <c r="F226" s="59" t="s">
        <v>2550</v>
      </c>
      <c r="O226" s="59" t="s">
        <v>2201</v>
      </c>
      <c r="P226" s="59" t="b">
        <f>List129[[#This Row],[Income2018]]=List129[[#This Row],[Income]]</f>
        <v>1</v>
      </c>
      <c r="Q226" s="59" t="s">
        <v>2201</v>
      </c>
      <c r="S226" s="59" t="e">
        <f>VLOOKUP(List129[[#This Row],[Afkorting]],$AF$288:$AF$307,1,FALSE)</f>
        <v>#N/A</v>
      </c>
      <c r="X226" s="59" t="s">
        <v>240</v>
      </c>
      <c r="Y226" s="59" t="e">
        <v>#N/A</v>
      </c>
      <c r="Z226" s="61" t="e">
        <f>IF(OR(List129[[#This Row],[Fragile 2018]]=1,List129[[#This Row],[Income]]="LDC"),1,"")</f>
        <v>#N/A</v>
      </c>
      <c r="AN226" s="59" t="s">
        <v>2548</v>
      </c>
    </row>
    <row r="227" spans="1:40" x14ac:dyDescent="0.2">
      <c r="A227" s="59">
        <v>701</v>
      </c>
      <c r="C227" s="59" t="s">
        <v>2551</v>
      </c>
      <c r="D227" s="59" t="s">
        <v>2551</v>
      </c>
      <c r="E227" s="59" t="s">
        <v>2551</v>
      </c>
      <c r="K227" s="59" t="s">
        <v>1964</v>
      </c>
      <c r="O227" s="59" t="s">
        <v>2201</v>
      </c>
      <c r="P227" s="59" t="b">
        <f>List129[[#This Row],[Income2018]]=List129[[#This Row],[Income]]</f>
        <v>1</v>
      </c>
      <c r="Q227" s="59" t="s">
        <v>2201</v>
      </c>
      <c r="S227" s="59" t="e">
        <f>VLOOKUP(List129[[#This Row],[Afkorting]],$AF$288:$AF$307,1,FALSE)</f>
        <v>#N/A</v>
      </c>
      <c r="X227" s="59" t="s">
        <v>240</v>
      </c>
      <c r="Y227" s="59" t="e">
        <v>#N/A</v>
      </c>
      <c r="Z227" s="61" t="e">
        <f>IF(OR(List129[[#This Row],[Fragile 2018]]=1,List129[[#This Row],[Income]]="LDC"),1,"")</f>
        <v>#N/A</v>
      </c>
      <c r="AN227" s="59" t="s">
        <v>2551</v>
      </c>
    </row>
    <row r="228" spans="1:40" x14ac:dyDescent="0.2">
      <c r="A228" s="59">
        <v>693</v>
      </c>
      <c r="C228" s="59" t="s">
        <v>2552</v>
      </c>
      <c r="D228" s="59" t="s">
        <v>2552</v>
      </c>
      <c r="E228" s="59" t="s">
        <v>2552</v>
      </c>
      <c r="F228" s="59" t="s">
        <v>2461</v>
      </c>
      <c r="K228" s="59" t="s">
        <v>2462</v>
      </c>
      <c r="O228" s="59" t="s">
        <v>2201</v>
      </c>
      <c r="P228" s="59" t="b">
        <f>List129[[#This Row],[Income2018]]=List129[[#This Row],[Income]]</f>
        <v>1</v>
      </c>
      <c r="Q228" s="59" t="s">
        <v>2201</v>
      </c>
      <c r="S228" s="59" t="e">
        <f>VLOOKUP(List129[[#This Row],[Afkorting]],$AF$288:$AF$307,1,FALSE)</f>
        <v>#N/A</v>
      </c>
      <c r="X228" s="59" t="s">
        <v>240</v>
      </c>
      <c r="Y228" s="59" t="e">
        <v>#N/A</v>
      </c>
      <c r="Z228" s="61" t="e">
        <f>IF(OR(List129[[#This Row],[Fragile 2018]]=1,List129[[#This Row],[Income]]="LDC"),1,"")</f>
        <v>#N/A</v>
      </c>
      <c r="AN228" s="59" t="s">
        <v>2552</v>
      </c>
    </row>
    <row r="229" spans="1:40" x14ac:dyDescent="0.2">
      <c r="A229" s="59">
        <v>702</v>
      </c>
      <c r="C229" s="59" t="s">
        <v>2553</v>
      </c>
      <c r="D229" s="59" t="s">
        <v>2553</v>
      </c>
      <c r="E229" s="59" t="s">
        <v>2553</v>
      </c>
      <c r="O229" s="59" t="s">
        <v>2201</v>
      </c>
      <c r="P229" s="59" t="b">
        <f>List129[[#This Row],[Income2018]]=List129[[#This Row],[Income]]</f>
        <v>1</v>
      </c>
      <c r="Q229" s="59" t="s">
        <v>2201</v>
      </c>
      <c r="S229" s="59" t="e">
        <f>VLOOKUP(List129[[#This Row],[Afkorting]],$AF$288:$AF$307,1,FALSE)</f>
        <v>#N/A</v>
      </c>
      <c r="X229" s="59" t="s">
        <v>240</v>
      </c>
      <c r="Y229" s="59" t="e">
        <v>#N/A</v>
      </c>
      <c r="Z229" s="61" t="e">
        <f>IF(OR(List129[[#This Row],[Fragile 2018]]=1,List129[[#This Row],[Income]]="LDC"),1,"")</f>
        <v>#N/A</v>
      </c>
      <c r="AN229" s="59" t="s">
        <v>2553</v>
      </c>
    </row>
    <row r="230" spans="1:40" x14ac:dyDescent="0.2">
      <c r="A230" s="59">
        <v>147</v>
      </c>
      <c r="C230" s="59" t="s">
        <v>2554</v>
      </c>
      <c r="D230" s="59" t="s">
        <v>2555</v>
      </c>
      <c r="E230" s="59" t="s">
        <v>2556</v>
      </c>
      <c r="F230" s="59" t="s">
        <v>2557</v>
      </c>
      <c r="G230" s="59" t="s">
        <v>2558</v>
      </c>
      <c r="J230" s="59">
        <v>82</v>
      </c>
      <c r="K230" s="59" t="s">
        <v>2557</v>
      </c>
      <c r="O230" s="59" t="s">
        <v>2201</v>
      </c>
      <c r="P230" s="59" t="b">
        <f>List129[[#This Row],[Income2018]]=List129[[#This Row],[Income]]</f>
        <v>1</v>
      </c>
      <c r="Q230" s="59" t="s">
        <v>2201</v>
      </c>
      <c r="S230" s="59" t="e">
        <f>VLOOKUP(List129[[#This Row],[Afkorting]],$AF$288:$AF$307,1,FALSE)</f>
        <v>#N/A</v>
      </c>
      <c r="X230" s="59" t="s">
        <v>240</v>
      </c>
      <c r="Y230" s="59" t="e">
        <v>#N/A</v>
      </c>
      <c r="Z230" s="61" t="e">
        <f>IF(OR(List129[[#This Row],[Fragile 2018]]=1,List129[[#This Row],[Income]]="LDC"),1,"")</f>
        <v>#N/A</v>
      </c>
      <c r="AN230" s="59" t="s">
        <v>2554</v>
      </c>
    </row>
    <row r="231" spans="1:40" x14ac:dyDescent="0.2">
      <c r="A231" s="59">
        <v>110</v>
      </c>
      <c r="C231" s="59" t="s">
        <v>2559</v>
      </c>
      <c r="D231" s="59" t="s">
        <v>2560</v>
      </c>
      <c r="E231" s="59" t="s">
        <v>2559</v>
      </c>
      <c r="F231" s="59" t="s">
        <v>2561</v>
      </c>
      <c r="G231" s="59" t="s">
        <v>2562</v>
      </c>
      <c r="K231" s="59" t="s">
        <v>2561</v>
      </c>
      <c r="O231" s="59" t="s">
        <v>2201</v>
      </c>
      <c r="P231" s="59" t="b">
        <f>List129[[#This Row],[Income2018]]=List129[[#This Row],[Income]]</f>
        <v>1</v>
      </c>
      <c r="Q231" s="59" t="s">
        <v>2201</v>
      </c>
      <c r="S231" s="59" t="e">
        <f>VLOOKUP(List129[[#This Row],[Afkorting]],$AF$288:$AF$307,1,FALSE)</f>
        <v>#N/A</v>
      </c>
      <c r="X231" s="59" t="s">
        <v>240</v>
      </c>
      <c r="Y231" s="59" t="e">
        <v>#N/A</v>
      </c>
      <c r="Z231" s="61" t="e">
        <f>IF(OR(List129[[#This Row],[Fragile 2018]]=1,List129[[#This Row],[Income]]="LDC"),1,"")</f>
        <v>#N/A</v>
      </c>
      <c r="AN231" s="59" t="s">
        <v>2559</v>
      </c>
    </row>
    <row r="232" spans="1:40" x14ac:dyDescent="0.2">
      <c r="A232" s="59">
        <v>111</v>
      </c>
      <c r="C232" s="59" t="s">
        <v>2563</v>
      </c>
      <c r="D232" s="59" t="s">
        <v>2564</v>
      </c>
      <c r="E232" s="59" t="s">
        <v>2564</v>
      </c>
      <c r="F232" s="59" t="s">
        <v>2565</v>
      </c>
      <c r="G232" s="59" t="s">
        <v>2566</v>
      </c>
      <c r="K232" s="59" t="s">
        <v>2565</v>
      </c>
      <c r="O232" s="59" t="s">
        <v>2201</v>
      </c>
      <c r="P232" s="59" t="b">
        <f>List129[[#This Row],[Income2018]]=List129[[#This Row],[Income]]</f>
        <v>1</v>
      </c>
      <c r="Q232" s="59" t="s">
        <v>2201</v>
      </c>
      <c r="S232" s="59" t="e">
        <f>VLOOKUP(List129[[#This Row],[Afkorting]],$AF$288:$AF$307,1,FALSE)</f>
        <v>#N/A</v>
      </c>
      <c r="X232" s="59" t="s">
        <v>240</v>
      </c>
      <c r="Y232" s="59" t="e">
        <v>#N/A</v>
      </c>
      <c r="Z232" s="61" t="e">
        <f>IF(OR(List129[[#This Row],[Fragile 2018]]=1,List129[[#This Row],[Income]]="LDC"),1,"")</f>
        <v>#N/A</v>
      </c>
      <c r="AN232" s="59" t="s">
        <v>2563</v>
      </c>
    </row>
    <row r="233" spans="1:40" x14ac:dyDescent="0.2">
      <c r="A233" s="59">
        <v>581</v>
      </c>
      <c r="C233" s="59" t="s">
        <v>2567</v>
      </c>
      <c r="D233" s="59" t="s">
        <v>2568</v>
      </c>
      <c r="E233" s="59" t="s">
        <v>2569</v>
      </c>
      <c r="F233" s="59" t="s">
        <v>2570</v>
      </c>
      <c r="K233" s="59" t="s">
        <v>2570</v>
      </c>
      <c r="O233" s="59" t="s">
        <v>2201</v>
      </c>
      <c r="P233" s="59" t="b">
        <f>List129[[#This Row],[Income2018]]=List129[[#This Row],[Income]]</f>
        <v>1</v>
      </c>
      <c r="Q233" s="59" t="s">
        <v>2201</v>
      </c>
      <c r="S233" s="59" t="e">
        <f>VLOOKUP(List129[[#This Row],[Afkorting]],$AF$288:$AF$307,1,FALSE)</f>
        <v>#N/A</v>
      </c>
      <c r="X233" s="59" t="s">
        <v>240</v>
      </c>
      <c r="Y233" s="59" t="e">
        <v>#N/A</v>
      </c>
      <c r="Z233" s="61" t="e">
        <f>IF(OR(List129[[#This Row],[Fragile 2018]]=1,List129[[#This Row],[Income]]="LDC"),1,"")</f>
        <v>#N/A</v>
      </c>
      <c r="AN233" s="59" t="s">
        <v>2567</v>
      </c>
    </row>
    <row r="234" spans="1:40" x14ac:dyDescent="0.2">
      <c r="A234" s="59">
        <v>695</v>
      </c>
      <c r="C234" s="59" t="s">
        <v>1443</v>
      </c>
      <c r="D234" s="59" t="s">
        <v>1443</v>
      </c>
      <c r="E234" s="59" t="s">
        <v>1443</v>
      </c>
      <c r="J234" s="59">
        <v>384</v>
      </c>
      <c r="K234" s="59" t="s">
        <v>2235</v>
      </c>
      <c r="O234" s="59" t="s">
        <v>1892</v>
      </c>
      <c r="P234" s="59" t="b">
        <f>List129[[#This Row],[Income2018]]=List129[[#This Row],[Income]]</f>
        <v>1</v>
      </c>
      <c r="Q234" s="59" t="s">
        <v>2236</v>
      </c>
      <c r="S234" s="59" t="e">
        <f>VLOOKUP(List129[[#This Row],[Afkorting]],$AF$288:$AF$307,1,FALSE)</f>
        <v>#N/A</v>
      </c>
      <c r="X234" s="59" t="s">
        <v>240</v>
      </c>
      <c r="Y234" s="59" t="e">
        <v>#N/A</v>
      </c>
      <c r="Z234" s="61" t="e">
        <f>IF(OR(List129[[#This Row],[Fragile 2018]]=1,List129[[#This Row],[Income]]="LDC"),1,"")</f>
        <v>#N/A</v>
      </c>
      <c r="AN234" s="59" t="s">
        <v>1443</v>
      </c>
    </row>
    <row r="235" spans="1:40" x14ac:dyDescent="0.2">
      <c r="A235" s="59">
        <v>498</v>
      </c>
      <c r="C235" s="59" t="s">
        <v>2571</v>
      </c>
      <c r="D235" s="59" t="s">
        <v>2571</v>
      </c>
      <c r="E235" s="59" t="s">
        <v>2572</v>
      </c>
      <c r="F235" s="59" t="s">
        <v>2573</v>
      </c>
      <c r="G235" s="59" t="s">
        <v>2574</v>
      </c>
      <c r="K235" s="59" t="s">
        <v>2575</v>
      </c>
      <c r="O235" s="59" t="s">
        <v>2201</v>
      </c>
      <c r="P235" s="59" t="b">
        <f>List129[[#This Row],[Income2018]]=List129[[#This Row],[Income]]</f>
        <v>1</v>
      </c>
      <c r="Q235" s="59" t="s">
        <v>2201</v>
      </c>
      <c r="S235" s="59" t="e">
        <f>VLOOKUP(List129[[#This Row],[Afkorting]],$AF$288:$AF$307,1,FALSE)</f>
        <v>#N/A</v>
      </c>
      <c r="X235" s="59" t="s">
        <v>240</v>
      </c>
      <c r="Y235" s="59" t="e">
        <v>#N/A</v>
      </c>
      <c r="Z235" s="61" t="e">
        <f>IF(OR(List129[[#This Row],[Fragile 2018]]=1,List129[[#This Row],[Income]]="LDC"),1,"")</f>
        <v>#N/A</v>
      </c>
      <c r="AN235" s="59" t="s">
        <v>2571</v>
      </c>
    </row>
    <row r="236" spans="1:40" x14ac:dyDescent="0.2">
      <c r="A236" s="59">
        <v>496</v>
      </c>
      <c r="C236" s="59" t="s">
        <v>2576</v>
      </c>
      <c r="D236" s="59" t="s">
        <v>2576</v>
      </c>
      <c r="E236" s="59" t="s">
        <v>2576</v>
      </c>
      <c r="F236" s="59" t="s">
        <v>2577</v>
      </c>
      <c r="G236" s="59" t="s">
        <v>2578</v>
      </c>
      <c r="K236" s="59" t="s">
        <v>2579</v>
      </c>
      <c r="O236" s="59" t="s">
        <v>2201</v>
      </c>
      <c r="P236" s="59" t="b">
        <f>List129[[#This Row],[Income2018]]=List129[[#This Row],[Income]]</f>
        <v>1</v>
      </c>
      <c r="Q236" s="59" t="s">
        <v>2201</v>
      </c>
      <c r="S236" s="59" t="e">
        <f>VLOOKUP(List129[[#This Row],[Afkorting]],$AF$288:$AF$307,1,FALSE)</f>
        <v>#N/A</v>
      </c>
      <c r="X236" s="59" t="s">
        <v>240</v>
      </c>
      <c r="Y236" s="59" t="e">
        <v>#N/A</v>
      </c>
      <c r="Z236" s="61" t="e">
        <f>IF(OR(List129[[#This Row],[Fragile 2018]]=1,List129[[#This Row],[Income]]="LDC"),1,"")</f>
        <v>#N/A</v>
      </c>
      <c r="AN236" s="59" t="s">
        <v>2576</v>
      </c>
    </row>
    <row r="237" spans="1:40" x14ac:dyDescent="0.2">
      <c r="A237" s="59">
        <v>682</v>
      </c>
      <c r="C237" s="59" t="s">
        <v>2580</v>
      </c>
      <c r="D237" s="59" t="s">
        <v>2580</v>
      </c>
      <c r="E237" s="59" t="s">
        <v>2580</v>
      </c>
      <c r="F237" s="59" t="s">
        <v>2581</v>
      </c>
      <c r="O237" s="59" t="s">
        <v>2201</v>
      </c>
      <c r="P237" s="59" t="b">
        <f>List129[[#This Row],[Income2018]]=List129[[#This Row],[Income]]</f>
        <v>1</v>
      </c>
      <c r="Q237" s="59" t="s">
        <v>2201</v>
      </c>
      <c r="S237" s="59" t="e">
        <f>VLOOKUP(List129[[#This Row],[Afkorting]],$AF$288:$AF$307,1,FALSE)</f>
        <v>#N/A</v>
      </c>
      <c r="X237" s="59" t="s">
        <v>240</v>
      </c>
      <c r="Y237" s="59" t="e">
        <v>#N/A</v>
      </c>
      <c r="Z237" s="61" t="e">
        <f>IF(OR(List129[[#This Row],[Fragile 2018]]=1,List129[[#This Row],[Income]]="LDC"),1,"")</f>
        <v>#N/A</v>
      </c>
      <c r="AN237" s="59" t="s">
        <v>2580</v>
      </c>
    </row>
    <row r="238" spans="1:40" x14ac:dyDescent="0.2">
      <c r="A238" s="59">
        <v>133</v>
      </c>
      <c r="C238" s="59" t="s">
        <v>2582</v>
      </c>
      <c r="D238" s="59" t="s">
        <v>2583</v>
      </c>
      <c r="E238" s="59" t="s">
        <v>2584</v>
      </c>
      <c r="F238" s="59" t="s">
        <v>2585</v>
      </c>
      <c r="K238" s="59" t="s">
        <v>2586</v>
      </c>
      <c r="O238" s="59" t="s">
        <v>2201</v>
      </c>
      <c r="P238" s="59" t="b">
        <f>List129[[#This Row],[Income2018]]=List129[[#This Row],[Income]]</f>
        <v>1</v>
      </c>
      <c r="Q238" s="59" t="s">
        <v>2201</v>
      </c>
      <c r="S238" s="59" t="e">
        <f>VLOOKUP(List129[[#This Row],[Afkorting]],$AF$288:$AF$307,1,FALSE)</f>
        <v>#N/A</v>
      </c>
      <c r="X238" s="59" t="s">
        <v>240</v>
      </c>
      <c r="Y238" s="59" t="e">
        <v>#N/A</v>
      </c>
      <c r="Z238" s="61" t="e">
        <f>IF(OR(List129[[#This Row],[Fragile 2018]]=1,List129[[#This Row],[Income]]="LDC"),1,"")</f>
        <v>#N/A</v>
      </c>
      <c r="AN238" s="59" t="s">
        <v>2582</v>
      </c>
    </row>
    <row r="239" spans="1:40" x14ac:dyDescent="0.2">
      <c r="A239" s="59">
        <v>116</v>
      </c>
      <c r="C239" s="59" t="s">
        <v>2587</v>
      </c>
      <c r="D239" s="59" t="s">
        <v>2588</v>
      </c>
      <c r="E239" s="59" t="s">
        <v>2589</v>
      </c>
      <c r="F239" s="59" t="s">
        <v>2590</v>
      </c>
      <c r="G239" s="59" t="s">
        <v>2591</v>
      </c>
      <c r="K239" s="59" t="s">
        <v>2592</v>
      </c>
      <c r="O239" s="59" t="s">
        <v>2201</v>
      </c>
      <c r="P239" s="59" t="b">
        <f>List129[[#This Row],[Income2018]]=List129[[#This Row],[Income]]</f>
        <v>1</v>
      </c>
      <c r="Q239" s="59" t="s">
        <v>2201</v>
      </c>
      <c r="S239" s="59" t="e">
        <f>VLOOKUP(List129[[#This Row],[Afkorting]],$AF$288:$AF$307,1,FALSE)</f>
        <v>#N/A</v>
      </c>
      <c r="X239" s="59" t="s">
        <v>240</v>
      </c>
      <c r="Y239" s="59" t="e">
        <v>#N/A</v>
      </c>
      <c r="Z239" s="61" t="e">
        <f>IF(OR(List129[[#This Row],[Fragile 2018]]=1,List129[[#This Row],[Income]]="LDC"),1,"")</f>
        <v>#N/A</v>
      </c>
      <c r="AN239" s="59" t="s">
        <v>2587</v>
      </c>
    </row>
    <row r="240" spans="1:40" x14ac:dyDescent="0.2">
      <c r="A240" s="59">
        <v>117</v>
      </c>
      <c r="C240" s="59" t="s">
        <v>2593</v>
      </c>
      <c r="D240" s="59" t="s">
        <v>2594</v>
      </c>
      <c r="E240" s="59" t="s">
        <v>2595</v>
      </c>
      <c r="F240" s="59" t="s">
        <v>2596</v>
      </c>
      <c r="G240" s="59" t="s">
        <v>2597</v>
      </c>
      <c r="K240" s="59" t="s">
        <v>2596</v>
      </c>
      <c r="O240" s="59" t="s">
        <v>2201</v>
      </c>
      <c r="P240" s="59" t="b">
        <f>List129[[#This Row],[Income2018]]=List129[[#This Row],[Income]]</f>
        <v>1</v>
      </c>
      <c r="Q240" s="59" t="s">
        <v>2201</v>
      </c>
      <c r="S240" s="59" t="e">
        <f>VLOOKUP(List129[[#This Row],[Afkorting]],$AF$288:$AF$307,1,FALSE)</f>
        <v>#N/A</v>
      </c>
      <c r="X240" s="59" t="s">
        <v>240</v>
      </c>
      <c r="Y240" s="59" t="e">
        <v>#N/A</v>
      </c>
      <c r="Z240" s="61" t="e">
        <f>IF(OR(List129[[#This Row],[Fragile 2018]]=1,List129[[#This Row],[Income]]="LDC"),1,"")</f>
        <v>#N/A</v>
      </c>
      <c r="AN240" s="59" t="s">
        <v>2593</v>
      </c>
    </row>
    <row r="241" spans="1:40" x14ac:dyDescent="0.2">
      <c r="A241" s="59">
        <v>128</v>
      </c>
      <c r="C241" s="59" t="s">
        <v>2598</v>
      </c>
      <c r="D241" s="59" t="s">
        <v>2598</v>
      </c>
      <c r="E241" s="59" t="s">
        <v>2599</v>
      </c>
      <c r="F241" s="59" t="s">
        <v>2600</v>
      </c>
      <c r="G241" s="59" t="s">
        <v>2601</v>
      </c>
      <c r="K241" s="59" t="s">
        <v>2600</v>
      </c>
      <c r="O241" s="59" t="s">
        <v>2201</v>
      </c>
      <c r="P241" s="59" t="b">
        <f>List129[[#This Row],[Income2018]]=List129[[#This Row],[Income]]</f>
        <v>1</v>
      </c>
      <c r="Q241" s="59" t="s">
        <v>2201</v>
      </c>
      <c r="S241" s="59" t="e">
        <f>VLOOKUP(List129[[#This Row],[Afkorting]],$AF$288:$AF$307,1,FALSE)</f>
        <v>#N/A</v>
      </c>
      <c r="X241" s="59" t="s">
        <v>240</v>
      </c>
      <c r="Y241" s="59" t="e">
        <v>#N/A</v>
      </c>
      <c r="Z241" s="61" t="e">
        <f>IF(OR(List129[[#This Row],[Fragile 2018]]=1,List129[[#This Row],[Income]]="LDC"),1,"")</f>
        <v>#N/A</v>
      </c>
      <c r="AN241" s="59" t="s">
        <v>2598</v>
      </c>
    </row>
    <row r="242" spans="1:40" x14ac:dyDescent="0.2">
      <c r="A242" s="59">
        <v>209</v>
      </c>
      <c r="C242" s="59" t="s">
        <v>2602</v>
      </c>
      <c r="D242" s="59" t="s">
        <v>2603</v>
      </c>
      <c r="E242" s="59" t="s">
        <v>2602</v>
      </c>
      <c r="F242" s="59" t="s">
        <v>2604</v>
      </c>
      <c r="G242" s="59" t="s">
        <v>2605</v>
      </c>
      <c r="K242" s="59" t="s">
        <v>2606</v>
      </c>
      <c r="O242" s="59" t="s">
        <v>2201</v>
      </c>
      <c r="P242" s="59" t="b">
        <f>List129[[#This Row],[Income2018]]=List129[[#This Row],[Income]]</f>
        <v>1</v>
      </c>
      <c r="Q242" s="59" t="s">
        <v>2201</v>
      </c>
      <c r="S242" s="59" t="e">
        <f>VLOOKUP(List129[[#This Row],[Afkorting]],$AF$288:$AF$307,1,FALSE)</f>
        <v>#N/A</v>
      </c>
      <c r="X242" s="59" t="s">
        <v>240</v>
      </c>
      <c r="Y242" s="59" t="e">
        <v>#N/A</v>
      </c>
      <c r="Z242" s="61" t="e">
        <f>IF(OR(List129[[#This Row],[Fragile 2018]]=1,List129[[#This Row],[Income]]="LDC"),1,"")</f>
        <v>#N/A</v>
      </c>
      <c r="AN242" s="59" t="s">
        <v>2602</v>
      </c>
    </row>
    <row r="243" spans="1:40" x14ac:dyDescent="0.2">
      <c r="A243" s="59">
        <v>265</v>
      </c>
      <c r="C243" s="59" t="s">
        <v>2607</v>
      </c>
      <c r="D243" s="59" t="s">
        <v>2608</v>
      </c>
      <c r="E243" s="59" t="s">
        <v>2609</v>
      </c>
      <c r="F243" s="59" t="s">
        <v>2610</v>
      </c>
      <c r="K243" s="59" t="s">
        <v>1479</v>
      </c>
      <c r="O243" s="59" t="s">
        <v>2201</v>
      </c>
      <c r="P243" s="59" t="b">
        <f>List129[[#This Row],[Income2018]]=List129[[#This Row],[Income]]</f>
        <v>1</v>
      </c>
      <c r="Q243" s="59" t="s">
        <v>2201</v>
      </c>
      <c r="S243" s="59" t="e">
        <f>VLOOKUP(List129[[#This Row],[Afkorting]],$AF$288:$AF$307,1,FALSE)</f>
        <v>#N/A</v>
      </c>
      <c r="X243" s="59" t="s">
        <v>240</v>
      </c>
      <c r="Y243" s="59" t="e">
        <v>#N/A</v>
      </c>
      <c r="Z243" s="61" t="e">
        <f>IF(OR(List129[[#This Row],[Fragile 2018]]=1,List129[[#This Row],[Income]]="LDC"),1,"")</f>
        <v>#N/A</v>
      </c>
      <c r="AN243" s="59" t="s">
        <v>2607</v>
      </c>
    </row>
    <row r="244" spans="1:40" x14ac:dyDescent="0.2">
      <c r="A244" s="59">
        <v>999</v>
      </c>
      <c r="C244" s="59" t="s">
        <v>2611</v>
      </c>
      <c r="D244" s="59" t="s">
        <v>2612</v>
      </c>
      <c r="E244" s="59" t="s">
        <v>2611</v>
      </c>
      <c r="F244" s="59" t="s">
        <v>2613</v>
      </c>
      <c r="O244" s="59" t="s">
        <v>2201</v>
      </c>
      <c r="P244" s="59" t="b">
        <f>List129[[#This Row],[Income2018]]=List129[[#This Row],[Income]]</f>
        <v>1</v>
      </c>
      <c r="Q244" s="59" t="s">
        <v>2201</v>
      </c>
      <c r="S244" s="59" t="e">
        <f>VLOOKUP(List129[[#This Row],[Afkorting]],$AF$288:$AF$307,1,FALSE)</f>
        <v>#N/A</v>
      </c>
      <c r="X244" s="59" t="s">
        <v>240</v>
      </c>
      <c r="Y244" s="59" t="e">
        <v>#N/A</v>
      </c>
      <c r="Z244" s="61" t="e">
        <f>IF(OR(List129[[#This Row],[Fragile 2018]]=1,List129[[#This Row],[Income]]="LDC"),1,"")</f>
        <v>#N/A</v>
      </c>
      <c r="AN244" s="59" t="s">
        <v>2611</v>
      </c>
    </row>
    <row r="245" spans="1:40" x14ac:dyDescent="0.2">
      <c r="A245" s="59">
        <v>706</v>
      </c>
      <c r="C245" s="59" t="s">
        <v>2614</v>
      </c>
      <c r="D245" s="59" t="s">
        <v>2615</v>
      </c>
      <c r="E245" s="59" t="s">
        <v>2616</v>
      </c>
      <c r="F245" s="59" t="s">
        <v>2513</v>
      </c>
      <c r="K245" s="59" t="s">
        <v>2513</v>
      </c>
      <c r="O245" s="59" t="s">
        <v>2201</v>
      </c>
      <c r="P245" s="59" t="b">
        <f>List129[[#This Row],[Income2018]]=List129[[#This Row],[Income]]</f>
        <v>1</v>
      </c>
      <c r="Q245" s="59" t="s">
        <v>2201</v>
      </c>
      <c r="S245" s="59" t="e">
        <f>VLOOKUP(List129[[#This Row],[Afkorting]],$AF$288:$AF$307,1,FALSE)</f>
        <v>#N/A</v>
      </c>
      <c r="X245" s="59" t="s">
        <v>240</v>
      </c>
      <c r="Y245" s="59" t="e">
        <v>#N/A</v>
      </c>
      <c r="Z245" s="61" t="e">
        <f>IF(OR(List129[[#This Row],[Fragile 2018]]=1,List129[[#This Row],[Income]]="LDC"),1,"")</f>
        <v>#N/A</v>
      </c>
      <c r="AN245" s="59" t="s">
        <v>2614</v>
      </c>
    </row>
    <row r="246" spans="1:40" x14ac:dyDescent="0.2">
      <c r="A246" s="59">
        <v>206</v>
      </c>
      <c r="C246" s="59" t="s">
        <v>2617</v>
      </c>
      <c r="D246" s="59" t="s">
        <v>2618</v>
      </c>
      <c r="E246" s="59" t="s">
        <v>2619</v>
      </c>
      <c r="F246" s="59" t="s">
        <v>2620</v>
      </c>
      <c r="J246" s="59">
        <v>742</v>
      </c>
      <c r="K246" s="59" t="s">
        <v>2621</v>
      </c>
      <c r="O246" s="59" t="s">
        <v>1901</v>
      </c>
      <c r="P246" s="59" t="b">
        <f>List129[[#This Row],[Income2018]]=List129[[#This Row],[Income]]</f>
        <v>1</v>
      </c>
      <c r="Q246" s="59" t="s">
        <v>2622</v>
      </c>
      <c r="S246" s="59" t="e">
        <f>VLOOKUP(List129[[#This Row],[Afkorting]],$AF$288:$AF$307,1,FALSE)</f>
        <v>#N/A</v>
      </c>
      <c r="X246" s="59" t="s">
        <v>240</v>
      </c>
      <c r="Y246" s="59" t="e">
        <v>#N/A</v>
      </c>
      <c r="Z246" s="61" t="e">
        <f>IF(OR(List129[[#This Row],[Fragile 2018]]=1,List129[[#This Row],[Income]]="LDC"),1,"")</f>
        <v>#N/A</v>
      </c>
      <c r="AN246" s="59" t="s">
        <v>2617</v>
      </c>
    </row>
    <row r="247" spans="1:40" x14ac:dyDescent="0.2">
      <c r="A247" s="59">
        <v>148</v>
      </c>
      <c r="C247" s="59" t="s">
        <v>2623</v>
      </c>
      <c r="D247" s="59" t="s">
        <v>2624</v>
      </c>
      <c r="E247" s="59" t="s">
        <v>2625</v>
      </c>
      <c r="F247" s="59" t="s">
        <v>2626</v>
      </c>
      <c r="G247" s="59" t="s">
        <v>2627</v>
      </c>
      <c r="J247" s="59">
        <v>83</v>
      </c>
      <c r="K247" s="59" t="s">
        <v>2628</v>
      </c>
      <c r="O247" s="59" t="s">
        <v>2201</v>
      </c>
      <c r="P247" s="59" t="b">
        <f>List129[[#This Row],[Income2018]]=List129[[#This Row],[Income]]</f>
        <v>1</v>
      </c>
      <c r="Q247" s="59" t="s">
        <v>2201</v>
      </c>
      <c r="S247" s="59" t="e">
        <f>VLOOKUP(List129[[#This Row],[Afkorting]],$AF$288:$AF$307,1,FALSE)</f>
        <v>#N/A</v>
      </c>
      <c r="X247" s="59" t="s">
        <v>240</v>
      </c>
      <c r="Y247" s="59" t="e">
        <v>#N/A</v>
      </c>
      <c r="Z247" s="61" t="e">
        <f>IF(OR(List129[[#This Row],[Fragile 2018]]=1,List129[[#This Row],[Income]]="LDC"),1,"")</f>
        <v>#N/A</v>
      </c>
      <c r="AN247" s="59" t="s">
        <v>2623</v>
      </c>
    </row>
    <row r="248" spans="1:40" x14ac:dyDescent="0.2">
      <c r="A248" s="59">
        <v>149</v>
      </c>
      <c r="C248" s="59" t="s">
        <v>2629</v>
      </c>
      <c r="D248" s="59" t="s">
        <v>2630</v>
      </c>
      <c r="E248" s="59" t="s">
        <v>2631</v>
      </c>
      <c r="F248" s="59" t="s">
        <v>2632</v>
      </c>
      <c r="G248" s="59" t="s">
        <v>2633</v>
      </c>
      <c r="J248" s="59">
        <v>84</v>
      </c>
      <c r="K248" s="59" t="s">
        <v>2634</v>
      </c>
      <c r="O248" s="59" t="s">
        <v>2201</v>
      </c>
      <c r="P248" s="59" t="b">
        <f>List129[[#This Row],[Income2018]]=List129[[#This Row],[Income]]</f>
        <v>1</v>
      </c>
      <c r="Q248" s="59" t="s">
        <v>2201</v>
      </c>
      <c r="S248" s="59" t="e">
        <f>VLOOKUP(List129[[#This Row],[Afkorting]],$AF$288:$AF$307,1,FALSE)</f>
        <v>#N/A</v>
      </c>
      <c r="X248" s="59" t="s">
        <v>240</v>
      </c>
      <c r="Y248" s="59" t="e">
        <v>#N/A</v>
      </c>
      <c r="Z248" s="61" t="e">
        <f>IF(OR(List129[[#This Row],[Fragile 2018]]=1,List129[[#This Row],[Income]]="LDC"),1,"")</f>
        <v>#N/A</v>
      </c>
      <c r="AN248" s="59" t="s">
        <v>2629</v>
      </c>
    </row>
    <row r="249" spans="1:40" x14ac:dyDescent="0.2">
      <c r="A249" s="59">
        <v>113</v>
      </c>
      <c r="C249" s="59" t="s">
        <v>2635</v>
      </c>
      <c r="D249" s="59" t="s">
        <v>2636</v>
      </c>
      <c r="E249" s="59" t="s">
        <v>2636</v>
      </c>
      <c r="F249" s="59" t="s">
        <v>2637</v>
      </c>
      <c r="G249" s="59" t="s">
        <v>2638</v>
      </c>
      <c r="K249" s="59" t="s">
        <v>2637</v>
      </c>
      <c r="O249" s="59" t="s">
        <v>2201</v>
      </c>
      <c r="P249" s="59" t="b">
        <f>List129[[#This Row],[Income2018]]=List129[[#This Row],[Income]]</f>
        <v>1</v>
      </c>
      <c r="Q249" s="59" t="s">
        <v>2201</v>
      </c>
      <c r="S249" s="59" t="e">
        <f>VLOOKUP(List129[[#This Row],[Afkorting]],$AF$288:$AF$307,1,FALSE)</f>
        <v>#N/A</v>
      </c>
      <c r="X249" s="59" t="s">
        <v>240</v>
      </c>
      <c r="Y249" s="59" t="e">
        <v>#N/A</v>
      </c>
      <c r="Z249" s="61" t="e">
        <f>IF(OR(List129[[#This Row],[Fragile 2018]]=1,List129[[#This Row],[Income]]="LDC"),1,"")</f>
        <v>#N/A</v>
      </c>
      <c r="AN249" s="59" t="s">
        <v>2635</v>
      </c>
    </row>
    <row r="250" spans="1:40" x14ac:dyDescent="0.2">
      <c r="A250" s="59">
        <v>399</v>
      </c>
      <c r="C250" s="59" t="s">
        <v>2639</v>
      </c>
      <c r="D250" s="59" t="s">
        <v>2640</v>
      </c>
      <c r="F250" s="59" t="s">
        <v>2641</v>
      </c>
      <c r="O250" s="59" t="s">
        <v>2201</v>
      </c>
      <c r="P250" s="59" t="b">
        <f>List129[[#This Row],[Income2018]]=List129[[#This Row],[Income]]</f>
        <v>1</v>
      </c>
      <c r="Q250" s="59" t="s">
        <v>2201</v>
      </c>
      <c r="S250" s="59" t="e">
        <f>VLOOKUP(List129[[#This Row],[Afkorting]],$AF$288:$AF$307,1,FALSE)</f>
        <v>#N/A</v>
      </c>
      <c r="X250" s="59" t="s">
        <v>240</v>
      </c>
      <c r="Y250" s="59" t="e">
        <v>#N/A</v>
      </c>
      <c r="Z250" s="61" t="e">
        <f>IF(OR(List129[[#This Row],[Fragile 2018]]=1,List129[[#This Row],[Income]]="LDC"),1,"")</f>
        <v>#N/A</v>
      </c>
      <c r="AN250" s="59" t="s">
        <v>2639</v>
      </c>
    </row>
    <row r="251" spans="1:40" x14ac:dyDescent="0.2">
      <c r="A251" s="59">
        <v>497</v>
      </c>
      <c r="C251" s="59" t="s">
        <v>2642</v>
      </c>
      <c r="D251" s="59" t="s">
        <v>2642</v>
      </c>
      <c r="E251" s="59" t="s">
        <v>2642</v>
      </c>
      <c r="F251" s="59" t="s">
        <v>2643</v>
      </c>
      <c r="G251" s="59" t="s">
        <v>2644</v>
      </c>
      <c r="K251" s="59" t="s">
        <v>2645</v>
      </c>
      <c r="O251" s="59" t="s">
        <v>2201</v>
      </c>
      <c r="P251" s="59" t="b">
        <f>List129[[#This Row],[Income2018]]=List129[[#This Row],[Income]]</f>
        <v>1</v>
      </c>
      <c r="Q251" s="59" t="s">
        <v>2201</v>
      </c>
      <c r="S251" s="59" t="e">
        <f>VLOOKUP(List129[[#This Row],[Afkorting]],$AF$288:$AF$307,1,FALSE)</f>
        <v>#N/A</v>
      </c>
      <c r="X251" s="59" t="s">
        <v>240</v>
      </c>
      <c r="Y251" s="59" t="e">
        <v>#N/A</v>
      </c>
      <c r="Z251" s="61" t="e">
        <f>IF(OR(List129[[#This Row],[Fragile 2018]]=1,List129[[#This Row],[Income]]="LDC"),1,"")</f>
        <v>#N/A</v>
      </c>
      <c r="AN251" s="59" t="s">
        <v>2642</v>
      </c>
    </row>
    <row r="252" spans="1:40" x14ac:dyDescent="0.2">
      <c r="A252" s="59">
        <v>120</v>
      </c>
      <c r="C252" s="59" t="s">
        <v>2646</v>
      </c>
      <c r="D252" s="59" t="s">
        <v>2646</v>
      </c>
      <c r="E252" s="59" t="s">
        <v>2646</v>
      </c>
      <c r="F252" s="59" t="s">
        <v>2647</v>
      </c>
      <c r="G252" s="59" t="s">
        <v>2648</v>
      </c>
      <c r="K252" s="59" t="s">
        <v>2649</v>
      </c>
      <c r="O252" s="59" t="s">
        <v>2201</v>
      </c>
      <c r="P252" s="59" t="b">
        <f>List129[[#This Row],[Income2018]]=List129[[#This Row],[Income]]</f>
        <v>1</v>
      </c>
      <c r="Q252" s="59" t="s">
        <v>2201</v>
      </c>
      <c r="S252" s="59" t="e">
        <f>VLOOKUP(List129[[#This Row],[Afkorting]],$AF$288:$AF$307,1,FALSE)</f>
        <v>#N/A</v>
      </c>
      <c r="X252" s="59" t="s">
        <v>240</v>
      </c>
      <c r="Y252" s="59" t="e">
        <v>#N/A</v>
      </c>
      <c r="Z252" s="61" t="e">
        <f>IF(OR(List129[[#This Row],[Fragile 2018]]=1,List129[[#This Row],[Income]]="LDC"),1,"")</f>
        <v>#N/A</v>
      </c>
      <c r="AN252" s="59" t="s">
        <v>2646</v>
      </c>
    </row>
    <row r="253" spans="1:40" x14ac:dyDescent="0.2">
      <c r="A253" s="59">
        <v>129</v>
      </c>
      <c r="C253" s="59" t="s">
        <v>2650</v>
      </c>
      <c r="D253" s="59" t="s">
        <v>2651</v>
      </c>
      <c r="E253" s="59" t="s">
        <v>2652</v>
      </c>
      <c r="F253" s="59" t="s">
        <v>2653</v>
      </c>
      <c r="G253" s="59" t="s">
        <v>2654</v>
      </c>
      <c r="K253" s="59" t="s">
        <v>2655</v>
      </c>
      <c r="O253" s="59" t="s">
        <v>2201</v>
      </c>
      <c r="P253" s="59" t="b">
        <f>List129[[#This Row],[Income2018]]=List129[[#This Row],[Income]]</f>
        <v>1</v>
      </c>
      <c r="Q253" s="59" t="s">
        <v>2201</v>
      </c>
      <c r="S253" s="59" t="e">
        <f>VLOOKUP(List129[[#This Row],[Afkorting]],$AF$288:$AF$307,1,FALSE)</f>
        <v>#N/A</v>
      </c>
      <c r="X253" s="59" t="s">
        <v>240</v>
      </c>
      <c r="Y253" s="59" t="e">
        <v>#N/A</v>
      </c>
      <c r="Z253" s="61" t="e">
        <f>IF(OR(List129[[#This Row],[Fragile 2018]]=1,List129[[#This Row],[Income]]="LDC"),1,"")</f>
        <v>#N/A</v>
      </c>
      <c r="AN253" s="59" t="s">
        <v>2650</v>
      </c>
    </row>
    <row r="254" spans="1:40" x14ac:dyDescent="0.2">
      <c r="A254" s="59">
        <v>613</v>
      </c>
      <c r="C254" s="59" t="s">
        <v>2656</v>
      </c>
      <c r="D254" s="59" t="s">
        <v>2657</v>
      </c>
      <c r="E254" s="59" t="s">
        <v>2658</v>
      </c>
      <c r="F254" s="59" t="s">
        <v>2659</v>
      </c>
      <c r="G254" s="59" t="s">
        <v>2660</v>
      </c>
      <c r="K254" s="59" t="s">
        <v>2661</v>
      </c>
      <c r="O254" s="59" t="s">
        <v>2201</v>
      </c>
      <c r="P254" s="59" t="b">
        <f>List129[[#This Row],[Income2018]]=List129[[#This Row],[Income]]</f>
        <v>1</v>
      </c>
      <c r="Q254" s="59" t="s">
        <v>2201</v>
      </c>
      <c r="S254" s="59" t="e">
        <f>VLOOKUP(List129[[#This Row],[Afkorting]],$AF$288:$AF$307,1,FALSE)</f>
        <v>#N/A</v>
      </c>
      <c r="X254" s="59" t="s">
        <v>240</v>
      </c>
      <c r="Y254" s="59" t="e">
        <v>#N/A</v>
      </c>
      <c r="Z254" s="61" t="e">
        <f>IF(OR(List129[[#This Row],[Fragile 2018]]=1,List129[[#This Row],[Income]]="LDC"),1,"")</f>
        <v>#N/A</v>
      </c>
      <c r="AN254" s="59" t="s">
        <v>2656</v>
      </c>
    </row>
    <row r="255" spans="1:40" x14ac:dyDescent="0.2">
      <c r="A255" s="59">
        <v>104</v>
      </c>
      <c r="C255" s="59" t="s">
        <v>2662</v>
      </c>
      <c r="D255" s="59" t="s">
        <v>2663</v>
      </c>
      <c r="F255" s="59" t="s">
        <v>2664</v>
      </c>
      <c r="O255" s="59" t="s">
        <v>2201</v>
      </c>
      <c r="P255" s="59" t="b">
        <f>List129[[#This Row],[Income2018]]=List129[[#This Row],[Income]]</f>
        <v>1</v>
      </c>
      <c r="Q255" s="59" t="s">
        <v>2201</v>
      </c>
      <c r="S255" s="59" t="e">
        <f>VLOOKUP(List129[[#This Row],[Afkorting]],$AF$288:$AF$307,1,FALSE)</f>
        <v>#N/A</v>
      </c>
      <c r="X255" s="59" t="s">
        <v>240</v>
      </c>
      <c r="Y255" s="59" t="e">
        <v>#N/A</v>
      </c>
      <c r="Z255" s="61" t="e">
        <f>IF(OR(List129[[#This Row],[Fragile 2018]]=1,List129[[#This Row],[Income]]="LDC"),1,"")</f>
        <v>#N/A</v>
      </c>
      <c r="AN255" s="59" t="s">
        <v>2662</v>
      </c>
    </row>
    <row r="256" spans="1:40" x14ac:dyDescent="0.2">
      <c r="A256" s="59">
        <v>692</v>
      </c>
      <c r="C256" s="59" t="s">
        <v>2665</v>
      </c>
      <c r="D256" s="59" t="s">
        <v>2666</v>
      </c>
      <c r="E256" s="59" t="s">
        <v>2667</v>
      </c>
      <c r="F256" s="59" t="s">
        <v>2668</v>
      </c>
      <c r="K256" s="59" t="s">
        <v>2669</v>
      </c>
      <c r="O256" s="59" t="s">
        <v>2201</v>
      </c>
      <c r="P256" s="59" t="b">
        <f>List129[[#This Row],[Income2018]]=List129[[#This Row],[Income]]</f>
        <v>1</v>
      </c>
      <c r="Q256" s="59" t="s">
        <v>2201</v>
      </c>
      <c r="S256" s="59" t="e">
        <f>VLOOKUP(List129[[#This Row],[Afkorting]],$AF$288:$AF$307,1,FALSE)</f>
        <v>#N/A</v>
      </c>
      <c r="X256" s="59" t="s">
        <v>240</v>
      </c>
      <c r="Y256" s="59" t="e">
        <v>#N/A</v>
      </c>
      <c r="Z256" s="61" t="e">
        <f>IF(OR(List129[[#This Row],[Fragile 2018]]=1,List129[[#This Row],[Income]]="LDC"),1,"")</f>
        <v>#N/A</v>
      </c>
      <c r="AN256" s="59" t="s">
        <v>2665</v>
      </c>
    </row>
    <row r="257" spans="1:43" x14ac:dyDescent="0.2">
      <c r="A257" s="59">
        <v>122</v>
      </c>
      <c r="C257" s="59" t="s">
        <v>2670</v>
      </c>
      <c r="D257" s="59" t="s">
        <v>2671</v>
      </c>
      <c r="E257" s="59" t="s">
        <v>2672</v>
      </c>
      <c r="F257" s="59" t="s">
        <v>2673</v>
      </c>
      <c r="G257" s="59" t="s">
        <v>2674</v>
      </c>
      <c r="J257" s="59">
        <v>76</v>
      </c>
      <c r="K257" s="59" t="s">
        <v>2673</v>
      </c>
      <c r="O257" s="59" t="s">
        <v>2201</v>
      </c>
      <c r="P257" s="59" t="b">
        <f>List129[[#This Row],[Income2018]]=List129[[#This Row],[Income]]</f>
        <v>1</v>
      </c>
      <c r="Q257" s="59" t="s">
        <v>2201</v>
      </c>
      <c r="S257" s="59" t="e">
        <f>VLOOKUP(List129[[#This Row],[Afkorting]],$AF$288:$AF$307,1,FALSE)</f>
        <v>#N/A</v>
      </c>
      <c r="X257" s="59" t="s">
        <v>240</v>
      </c>
      <c r="Y257" s="59" t="e">
        <v>#N/A</v>
      </c>
      <c r="Z257" s="61" t="e">
        <f>IF(OR(List129[[#This Row],[Fragile 2018]]=1,List129[[#This Row],[Income]]="LDC"),1,"")</f>
        <v>#N/A</v>
      </c>
      <c r="AN257" s="59" t="s">
        <v>2670</v>
      </c>
      <c r="AO257" s="65"/>
      <c r="AQ257" s="65"/>
    </row>
    <row r="258" spans="1:43" x14ac:dyDescent="0.2">
      <c r="A258" s="59">
        <v>123</v>
      </c>
      <c r="C258" s="59" t="s">
        <v>2675</v>
      </c>
      <c r="D258" s="59" t="s">
        <v>2675</v>
      </c>
      <c r="E258" s="59" t="s">
        <v>2675</v>
      </c>
      <c r="F258" s="59" t="s">
        <v>2676</v>
      </c>
      <c r="G258" s="59" t="s">
        <v>2677</v>
      </c>
      <c r="K258" s="59" t="s">
        <v>2678</v>
      </c>
      <c r="O258" s="59" t="s">
        <v>2201</v>
      </c>
      <c r="P258" s="59" t="b">
        <f>List129[[#This Row],[Income2018]]=List129[[#This Row],[Income]]</f>
        <v>1</v>
      </c>
      <c r="Q258" s="59" t="s">
        <v>2201</v>
      </c>
      <c r="S258" s="59" t="e">
        <f>VLOOKUP(List129[[#This Row],[Afkorting]],$AF$288:$AF$307,1,FALSE)</f>
        <v>#N/A</v>
      </c>
      <c r="X258" s="59" t="s">
        <v>240</v>
      </c>
      <c r="Y258" s="59" t="e">
        <v>#N/A</v>
      </c>
      <c r="Z258" s="61" t="e">
        <f>IF(OR(List129[[#This Row],[Fragile 2018]]=1,List129[[#This Row],[Income]]="LDC"),1,"")</f>
        <v>#N/A</v>
      </c>
      <c r="AN258" s="59" t="s">
        <v>2675</v>
      </c>
      <c r="AO258" s="65"/>
      <c r="AQ258" s="65"/>
    </row>
    <row r="259" spans="1:43" x14ac:dyDescent="0.2">
      <c r="A259" s="59">
        <v>267</v>
      </c>
      <c r="C259" s="59" t="s">
        <v>2679</v>
      </c>
      <c r="D259" s="59" t="s">
        <v>2679</v>
      </c>
      <c r="E259" s="59" t="s">
        <v>2679</v>
      </c>
      <c r="F259" s="59" t="s">
        <v>2680</v>
      </c>
      <c r="G259" s="59" t="s">
        <v>2681</v>
      </c>
      <c r="J259" s="59">
        <v>561</v>
      </c>
      <c r="K259" s="59" t="s">
        <v>2680</v>
      </c>
      <c r="O259" s="59" t="s">
        <v>1901</v>
      </c>
      <c r="P259" s="59" t="b">
        <f>List129[[#This Row],[Income2018]]=List129[[#This Row],[Income]]</f>
        <v>1</v>
      </c>
      <c r="Q259" s="59" t="s">
        <v>2682</v>
      </c>
      <c r="S259" s="59" t="e">
        <f>VLOOKUP(List129[[#This Row],[Afkorting]],$AF$288:$AF$307,1,FALSE)</f>
        <v>#N/A</v>
      </c>
      <c r="X259" s="59" t="s">
        <v>240</v>
      </c>
      <c r="Y259" s="59" t="e">
        <v>#N/A</v>
      </c>
      <c r="Z259" s="61" t="e">
        <f>IF(OR(List129[[#This Row],[Fragile 2018]]=1,List129[[#This Row],[Income]]="LDC"),1,"")</f>
        <v>#N/A</v>
      </c>
      <c r="AN259" s="59" t="s">
        <v>2679</v>
      </c>
      <c r="AO259" s="65"/>
      <c r="AQ259" s="65"/>
    </row>
    <row r="260" spans="1:43" x14ac:dyDescent="0.2">
      <c r="A260" s="59">
        <v>387</v>
      </c>
      <c r="C260" s="59" t="s">
        <v>2683</v>
      </c>
      <c r="D260" s="59" t="s">
        <v>2684</v>
      </c>
      <c r="E260" s="59" t="s">
        <v>2685</v>
      </c>
      <c r="F260" s="59" t="s">
        <v>1844</v>
      </c>
      <c r="K260" s="59" t="s">
        <v>1844</v>
      </c>
      <c r="O260" s="59" t="s">
        <v>2201</v>
      </c>
      <c r="P260" s="59" t="b">
        <f>List129[[#This Row],[Income2018]]=List129[[#This Row],[Income]]</f>
        <v>1</v>
      </c>
      <c r="Q260" s="59" t="s">
        <v>2201</v>
      </c>
      <c r="S260" s="59" t="e">
        <f>VLOOKUP(List129[[#This Row],[Afkorting]],$AF$288:$AF$307,1,FALSE)</f>
        <v>#N/A</v>
      </c>
      <c r="X260" s="59" t="s">
        <v>240</v>
      </c>
      <c r="Y260" s="59" t="e">
        <v>#N/A</v>
      </c>
      <c r="Z260" s="61" t="e">
        <f>IF(OR(List129[[#This Row],[Fragile 2018]]=1,List129[[#This Row],[Income]]="LDC"),1,"")</f>
        <v>#N/A</v>
      </c>
      <c r="AN260" s="59" t="s">
        <v>2683</v>
      </c>
      <c r="AO260" s="65"/>
      <c r="AQ260" s="65"/>
    </row>
    <row r="261" spans="1:43" x14ac:dyDescent="0.2">
      <c r="A261" s="59">
        <v>124</v>
      </c>
      <c r="C261" s="59" t="s">
        <v>2686</v>
      </c>
      <c r="D261" s="59" t="s">
        <v>2687</v>
      </c>
      <c r="E261" s="59" t="s">
        <v>2688</v>
      </c>
      <c r="F261" s="59" t="s">
        <v>2689</v>
      </c>
      <c r="G261" s="59" t="s">
        <v>2690</v>
      </c>
      <c r="J261" s="59">
        <v>77</v>
      </c>
      <c r="K261" s="59" t="s">
        <v>2691</v>
      </c>
      <c r="O261" s="59" t="s">
        <v>2201</v>
      </c>
      <c r="P261" s="59" t="b">
        <f>List129[[#This Row],[Income2018]]=List129[[#This Row],[Income]]</f>
        <v>1</v>
      </c>
      <c r="Q261" s="59" t="s">
        <v>2201</v>
      </c>
      <c r="S261" s="59" t="e">
        <f>VLOOKUP(List129[[#This Row],[Afkorting]],$AF$288:$AF$307,1,FALSE)</f>
        <v>#N/A</v>
      </c>
      <c r="X261" s="59" t="s">
        <v>240</v>
      </c>
      <c r="Y261" s="59" t="e">
        <v>#N/A</v>
      </c>
      <c r="Z261" s="61" t="e">
        <f>IF(OR(List129[[#This Row],[Fragile 2018]]=1,List129[[#This Row],[Income]]="LDC"),1,"")</f>
        <v>#N/A</v>
      </c>
      <c r="AN261" s="59" t="s">
        <v>2686</v>
      </c>
      <c r="AO261" s="65"/>
      <c r="AQ261" s="65"/>
    </row>
    <row r="262" spans="1:43" x14ac:dyDescent="0.2">
      <c r="A262" s="59">
        <v>145</v>
      </c>
      <c r="C262" s="59" t="s">
        <v>2692</v>
      </c>
      <c r="D262" s="59" t="s">
        <v>2693</v>
      </c>
      <c r="E262" s="59" t="s">
        <v>2694</v>
      </c>
      <c r="F262" s="59" t="s">
        <v>2695</v>
      </c>
      <c r="J262" s="59">
        <v>87</v>
      </c>
      <c r="K262" s="59" t="s">
        <v>2695</v>
      </c>
      <c r="O262" s="59" t="s">
        <v>2201</v>
      </c>
      <c r="P262" s="59" t="b">
        <f>List129[[#This Row],[Income2018]]=List129[[#This Row],[Income]]</f>
        <v>1</v>
      </c>
      <c r="Q262" s="59" t="s">
        <v>2201</v>
      </c>
      <c r="S262" s="59" t="e">
        <f>VLOOKUP(List129[[#This Row],[Afkorting]],$AF$288:$AF$307,1,FALSE)</f>
        <v>#N/A</v>
      </c>
      <c r="X262" s="59" t="s">
        <v>240</v>
      </c>
      <c r="Y262" s="59" t="e">
        <v>#N/A</v>
      </c>
      <c r="Z262" s="61" t="e">
        <f>IF(OR(List129[[#This Row],[Fragile 2018]]=1,List129[[#This Row],[Income]]="LDC"),1,"")</f>
        <v>#N/A</v>
      </c>
      <c r="AN262" s="59" t="s">
        <v>2692</v>
      </c>
      <c r="AO262" s="65"/>
      <c r="AQ262" s="65"/>
    </row>
    <row r="263" spans="1:43" x14ac:dyDescent="0.2">
      <c r="A263" s="59">
        <v>694</v>
      </c>
      <c r="C263" s="59" t="s">
        <v>1631</v>
      </c>
      <c r="D263" s="59" t="s">
        <v>1631</v>
      </c>
      <c r="E263" s="59" t="s">
        <v>1631</v>
      </c>
      <c r="F263" s="59" t="s">
        <v>1633</v>
      </c>
      <c r="J263" s="59">
        <v>384</v>
      </c>
      <c r="K263" s="59" t="s">
        <v>2235</v>
      </c>
      <c r="O263" s="59" t="s">
        <v>1892</v>
      </c>
      <c r="P263" s="59" t="b">
        <f>List129[[#This Row],[Income2018]]=List129[[#This Row],[Income]]</f>
        <v>1</v>
      </c>
      <c r="Q263" s="59" t="s">
        <v>2236</v>
      </c>
      <c r="S263" s="59" t="e">
        <f>VLOOKUP(List129[[#This Row],[Afkorting]],$AF$288:$AF$307,1,FALSE)</f>
        <v>#N/A</v>
      </c>
      <c r="X263" s="59" t="s">
        <v>240</v>
      </c>
      <c r="Y263" s="59" t="e">
        <v>#N/A</v>
      </c>
      <c r="Z263" s="61" t="e">
        <f>IF(OR(List129[[#This Row],[Fragile 2018]]=1,List129[[#This Row],[Income]]="LDC"),1,"")</f>
        <v>#N/A</v>
      </c>
      <c r="AN263" s="59" t="s">
        <v>1631</v>
      </c>
      <c r="AO263" s="65"/>
      <c r="AQ263" s="65"/>
    </row>
    <row r="264" spans="1:43" x14ac:dyDescent="0.2">
      <c r="A264" s="59">
        <v>495</v>
      </c>
      <c r="C264" s="59" t="s">
        <v>2696</v>
      </c>
      <c r="D264" s="59" t="s">
        <v>2696</v>
      </c>
      <c r="E264" s="59" t="s">
        <v>2697</v>
      </c>
      <c r="F264" s="59" t="s">
        <v>2698</v>
      </c>
      <c r="K264" s="59" t="s">
        <v>2698</v>
      </c>
      <c r="O264" s="59" t="s">
        <v>2201</v>
      </c>
      <c r="P264" s="59" t="b">
        <f>List129[[#This Row],[Income2018]]=List129[[#This Row],[Income]]</f>
        <v>1</v>
      </c>
      <c r="Q264" s="59" t="s">
        <v>2201</v>
      </c>
      <c r="S264" s="59" t="e">
        <f>VLOOKUP(List129[[#This Row],[Afkorting]],$AF$288:$AF$307,1,FALSE)</f>
        <v>#N/A</v>
      </c>
      <c r="X264" s="59" t="s">
        <v>240</v>
      </c>
      <c r="Y264" s="59" t="e">
        <v>#N/A</v>
      </c>
      <c r="Z264" s="61" t="e">
        <f>IF(OR(List129[[#This Row],[Fragile 2018]]=1,List129[[#This Row],[Income]]="LDC"),1,"")</f>
        <v>#N/A</v>
      </c>
      <c r="AN264" s="59" t="s">
        <v>2696</v>
      </c>
      <c r="AO264" s="65"/>
      <c r="AQ264" s="65"/>
    </row>
    <row r="265" spans="1:43" x14ac:dyDescent="0.2">
      <c r="A265" s="59">
        <v>125</v>
      </c>
      <c r="C265" s="59" t="s">
        <v>2699</v>
      </c>
      <c r="D265" s="59" t="s">
        <v>2700</v>
      </c>
      <c r="E265" s="59" t="s">
        <v>2699</v>
      </c>
      <c r="F265" s="59" t="s">
        <v>2701</v>
      </c>
      <c r="G265" s="59" t="s">
        <v>2702</v>
      </c>
      <c r="K265" s="59" t="s">
        <v>2703</v>
      </c>
      <c r="O265" s="59" t="s">
        <v>2201</v>
      </c>
      <c r="P265" s="59" t="b">
        <f>List129[[#This Row],[Income2018]]=List129[[#This Row],[Income]]</f>
        <v>1</v>
      </c>
      <c r="Q265" s="59" t="s">
        <v>2201</v>
      </c>
      <c r="S265" s="59" t="e">
        <f>VLOOKUP(List129[[#This Row],[Afkorting]],$AF$288:$AF$307,1,FALSE)</f>
        <v>#N/A</v>
      </c>
      <c r="X265" s="59" t="s">
        <v>240</v>
      </c>
      <c r="Y265" s="59" t="e">
        <v>#N/A</v>
      </c>
      <c r="Z265" s="61" t="e">
        <f>IF(OR(List129[[#This Row],[Fragile 2018]]=1,List129[[#This Row],[Income]]="LDC"),1,"")</f>
        <v>#N/A</v>
      </c>
      <c r="AN265" s="59" t="s">
        <v>2699</v>
      </c>
      <c r="AO265" s="65"/>
      <c r="AQ265" s="65"/>
    </row>
    <row r="266" spans="1:43" x14ac:dyDescent="0.2">
      <c r="A266" s="59">
        <v>140</v>
      </c>
      <c r="C266" s="59" t="s">
        <v>2704</v>
      </c>
      <c r="D266" s="59" t="s">
        <v>2705</v>
      </c>
      <c r="E266" s="59" t="s">
        <v>2706</v>
      </c>
      <c r="F266" s="59" t="s">
        <v>2707</v>
      </c>
      <c r="J266" s="59">
        <v>69</v>
      </c>
      <c r="K266" s="59" t="s">
        <v>2708</v>
      </c>
      <c r="O266" s="59" t="s">
        <v>2201</v>
      </c>
      <c r="P266" s="59" t="b">
        <f>List129[[#This Row],[Income2018]]=List129[[#This Row],[Income]]</f>
        <v>1</v>
      </c>
      <c r="Q266" s="59" t="s">
        <v>2201</v>
      </c>
      <c r="S266" s="59" t="e">
        <f>VLOOKUP(List129[[#This Row],[Afkorting]],$AF$288:$AF$307,1,FALSE)</f>
        <v>#N/A</v>
      </c>
      <c r="X266" s="59" t="s">
        <v>240</v>
      </c>
      <c r="Y266" s="59" t="e">
        <v>#N/A</v>
      </c>
      <c r="Z266" s="61" t="e">
        <f>IF(OR(List129[[#This Row],[Fragile 2018]]=1,List129[[#This Row],[Income]]="LDC"),1,"")</f>
        <v>#N/A</v>
      </c>
      <c r="AN266" s="59" t="s">
        <v>2704</v>
      </c>
      <c r="AO266" s="65"/>
      <c r="AQ266" s="65"/>
    </row>
    <row r="267" spans="1:43" x14ac:dyDescent="0.2">
      <c r="A267" s="59">
        <v>138</v>
      </c>
      <c r="C267" s="59" t="s">
        <v>2709</v>
      </c>
      <c r="D267" s="59" t="s">
        <v>2709</v>
      </c>
      <c r="E267" s="59" t="s">
        <v>2710</v>
      </c>
      <c r="F267" s="59" t="s">
        <v>1995</v>
      </c>
      <c r="G267" s="59" t="s">
        <v>2711</v>
      </c>
      <c r="J267" s="59">
        <v>61</v>
      </c>
      <c r="K267" s="59" t="s">
        <v>2712</v>
      </c>
      <c r="O267" s="59" t="s">
        <v>1901</v>
      </c>
      <c r="P267" s="59" t="b">
        <f>List129[[#This Row],[Income2018]]=List129[[#This Row],[Income]]</f>
        <v>1</v>
      </c>
      <c r="Q267" s="59" t="s">
        <v>2713</v>
      </c>
      <c r="S267" s="59" t="e">
        <f>VLOOKUP(List129[[#This Row],[Afkorting]],$AF$288:$AF$307,1,FALSE)</f>
        <v>#N/A</v>
      </c>
      <c r="X267" s="59" t="s">
        <v>240</v>
      </c>
      <c r="Y267" s="59" t="e">
        <v>#N/A</v>
      </c>
      <c r="Z267" s="61" t="e">
        <f>IF(OR(List129[[#This Row],[Fragile 2018]]=1,List129[[#This Row],[Income]]="LDC"),1,"")</f>
        <v>#N/A</v>
      </c>
      <c r="AN267" s="59" t="s">
        <v>2709</v>
      </c>
      <c r="AO267" s="65"/>
      <c r="AQ267" s="65"/>
    </row>
    <row r="268" spans="1:43" x14ac:dyDescent="0.2">
      <c r="A268" s="59">
        <v>998</v>
      </c>
      <c r="C268" s="59" t="s">
        <v>2714</v>
      </c>
      <c r="D268" s="59" t="s">
        <v>2715</v>
      </c>
      <c r="F268" s="59" t="s">
        <v>2716</v>
      </c>
      <c r="O268" s="59" t="s">
        <v>2201</v>
      </c>
      <c r="P268" s="59" t="b">
        <f>List129[[#This Row],[Income2018]]=List129[[#This Row],[Income]]</f>
        <v>1</v>
      </c>
      <c r="Q268" s="59" t="s">
        <v>2201</v>
      </c>
      <c r="S268" s="59" t="e">
        <f>VLOOKUP(List129[[#This Row],[Afkorting]],$AF$288:$AF$307,1,FALSE)</f>
        <v>#N/A</v>
      </c>
      <c r="X268" s="59" t="s">
        <v>240</v>
      </c>
      <c r="Y268" s="59" t="e">
        <v>#N/A</v>
      </c>
      <c r="Z268" s="61" t="e">
        <f>IF(OR(List129[[#This Row],[Fragile 2018]]=1,List129[[#This Row],[Income]]="LDC"),1,"")</f>
        <v>#N/A</v>
      </c>
      <c r="AN268" s="59" t="s">
        <v>2714</v>
      </c>
      <c r="AO268" s="65"/>
      <c r="AQ268" s="65"/>
    </row>
    <row r="269" spans="1:43" x14ac:dyDescent="0.2">
      <c r="A269" s="59">
        <v>688</v>
      </c>
      <c r="C269" s="59" t="s">
        <v>2717</v>
      </c>
      <c r="D269" s="59" t="s">
        <v>2717</v>
      </c>
      <c r="E269" s="59" t="s">
        <v>2717</v>
      </c>
      <c r="F269" s="59" t="s">
        <v>2718</v>
      </c>
      <c r="O269" s="59" t="s">
        <v>2201</v>
      </c>
      <c r="P269" s="59" t="b">
        <f>List129[[#This Row],[Income2018]]=List129[[#This Row],[Income]]</f>
        <v>1</v>
      </c>
      <c r="Q269" s="59" t="s">
        <v>2201</v>
      </c>
      <c r="S269" s="59" t="e">
        <f>VLOOKUP(List129[[#This Row],[Afkorting]],$AF$288:$AF$307,1,FALSE)</f>
        <v>#N/A</v>
      </c>
      <c r="X269" s="59" t="s">
        <v>240</v>
      </c>
      <c r="Y269" s="59" t="e">
        <v>#N/A</v>
      </c>
      <c r="Z269" s="61" t="e">
        <f>IF(OR(List129[[#This Row],[Fragile 2018]]=1,List129[[#This Row],[Income]]="LDC"),1,"")</f>
        <v>#N/A</v>
      </c>
      <c r="AN269" s="59" t="s">
        <v>2717</v>
      </c>
      <c r="AO269" s="65"/>
      <c r="AQ269" s="65"/>
    </row>
    <row r="270" spans="1:43" x14ac:dyDescent="0.2">
      <c r="A270" s="59">
        <v>705</v>
      </c>
      <c r="C270" s="59" t="s">
        <v>2719</v>
      </c>
      <c r="D270" s="59" t="s">
        <v>2719</v>
      </c>
      <c r="E270" s="59" t="s">
        <v>2719</v>
      </c>
      <c r="O270" s="59" t="s">
        <v>2201</v>
      </c>
      <c r="P270" s="59" t="b">
        <f>List129[[#This Row],[Income2018]]=List129[[#This Row],[Income]]</f>
        <v>1</v>
      </c>
      <c r="Q270" s="59" t="s">
        <v>2201</v>
      </c>
      <c r="S270" s="59" t="e">
        <f>VLOOKUP(List129[[#This Row],[Afkorting]],$AF$288:$AF$307,1,FALSE)</f>
        <v>#N/A</v>
      </c>
      <c r="X270" s="59" t="s">
        <v>240</v>
      </c>
      <c r="Y270" s="59" t="e">
        <v>#N/A</v>
      </c>
      <c r="Z270" s="61" t="e">
        <f>IF(OR(List129[[#This Row],[Fragile 2018]]=1,List129[[#This Row],[Income]]="LDC"),1,"")</f>
        <v>#N/A</v>
      </c>
      <c r="AN270" s="59" t="s">
        <v>2719</v>
      </c>
      <c r="AO270" s="65"/>
      <c r="AQ270" s="65"/>
    </row>
    <row r="271" spans="1:43" x14ac:dyDescent="0.2">
      <c r="A271" s="59">
        <v>396</v>
      </c>
      <c r="C271" s="59" t="s">
        <v>2720</v>
      </c>
      <c r="D271" s="59" t="s">
        <v>2720</v>
      </c>
      <c r="E271" s="59" t="s">
        <v>2720</v>
      </c>
      <c r="F271" s="59" t="s">
        <v>2721</v>
      </c>
      <c r="O271" s="59" t="s">
        <v>2201</v>
      </c>
      <c r="P271" s="59" t="b">
        <f>List129[[#This Row],[Income2018]]=List129[[#This Row],[Income]]</f>
        <v>1</v>
      </c>
      <c r="Q271" s="59" t="s">
        <v>2201</v>
      </c>
      <c r="S271" s="59" t="e">
        <f>VLOOKUP(List129[[#This Row],[Afkorting]],$AF$288:$AF$307,1,FALSE)</f>
        <v>#N/A</v>
      </c>
      <c r="X271" s="59" t="s">
        <v>240</v>
      </c>
      <c r="Y271" s="59" t="e">
        <v>#N/A</v>
      </c>
      <c r="Z271" s="61" t="e">
        <f>IF(OR(List129[[#This Row],[Fragile 2018]]=1,List129[[#This Row],[Income]]="LDC"),1,"")</f>
        <v>#N/A</v>
      </c>
      <c r="AN271" s="59" t="s">
        <v>2720</v>
      </c>
      <c r="AO271" s="65"/>
      <c r="AQ271" s="65"/>
    </row>
    <row r="272" spans="1:43" x14ac:dyDescent="0.2">
      <c r="A272" s="59">
        <v>141</v>
      </c>
      <c r="C272" s="59" t="s">
        <v>2722</v>
      </c>
      <c r="D272" s="59" t="s">
        <v>2723</v>
      </c>
      <c r="E272" s="59" t="s">
        <v>2724</v>
      </c>
      <c r="F272" s="59" t="s">
        <v>2725</v>
      </c>
      <c r="J272" s="59">
        <v>68</v>
      </c>
      <c r="K272" s="59" t="s">
        <v>2726</v>
      </c>
      <c r="O272" s="59" t="s">
        <v>2201</v>
      </c>
      <c r="P272" s="59" t="b">
        <f>List129[[#This Row],[Income2018]]=List129[[#This Row],[Income]]</f>
        <v>1</v>
      </c>
      <c r="Q272" s="59" t="s">
        <v>2201</v>
      </c>
      <c r="S272" s="59" t="e">
        <f>VLOOKUP(List129[[#This Row],[Afkorting]],$AF$288:$AF$307,1,FALSE)</f>
        <v>#N/A</v>
      </c>
      <c r="X272" s="59" t="s">
        <v>240</v>
      </c>
      <c r="Y272" s="59" t="e">
        <v>#N/A</v>
      </c>
      <c r="Z272" s="61" t="e">
        <f>IF(OR(List129[[#This Row],[Fragile 2018]]=1,List129[[#This Row],[Income]]="LDC"),1,"")</f>
        <v>#N/A</v>
      </c>
      <c r="AN272" s="59" t="s">
        <v>2722</v>
      </c>
      <c r="AO272" s="65"/>
      <c r="AQ272" s="65"/>
    </row>
    <row r="273" spans="1:43" x14ac:dyDescent="0.2">
      <c r="A273" s="59">
        <v>130</v>
      </c>
      <c r="C273" s="59" t="s">
        <v>2727</v>
      </c>
      <c r="D273" s="59" t="s">
        <v>2728</v>
      </c>
      <c r="E273" s="59" t="s">
        <v>2727</v>
      </c>
      <c r="F273" s="59" t="s">
        <v>2729</v>
      </c>
      <c r="O273" s="59" t="s">
        <v>2201</v>
      </c>
      <c r="P273" s="59" t="b">
        <f>List129[[#This Row],[Income2018]]=List129[[#This Row],[Income]]</f>
        <v>1</v>
      </c>
      <c r="Q273" s="59" t="s">
        <v>2201</v>
      </c>
      <c r="S273" s="59" t="e">
        <f>VLOOKUP(List129[[#This Row],[Afkorting]],$AF$288:$AF$307,1,FALSE)</f>
        <v>#N/A</v>
      </c>
      <c r="X273" s="59" t="s">
        <v>240</v>
      </c>
      <c r="Y273" s="59" t="e">
        <v>#N/A</v>
      </c>
      <c r="Z273" s="61" t="e">
        <f>IF(OR(List129[[#This Row],[Fragile 2018]]=1,List129[[#This Row],[Income]]="LDC"),1,"")</f>
        <v>#N/A</v>
      </c>
      <c r="AN273" s="59" t="s">
        <v>2727</v>
      </c>
      <c r="AO273" s="65"/>
      <c r="AQ273" s="65"/>
    </row>
    <row r="274" spans="1:43" x14ac:dyDescent="0.2">
      <c r="A274" s="59">
        <v>700</v>
      </c>
      <c r="C274" s="59" t="s">
        <v>2730</v>
      </c>
      <c r="D274" s="59" t="s">
        <v>2731</v>
      </c>
      <c r="E274" s="59" t="s">
        <v>2730</v>
      </c>
      <c r="O274" s="59" t="s">
        <v>2201</v>
      </c>
      <c r="P274" s="59" t="b">
        <f>List129[[#This Row],[Income2018]]=List129[[#This Row],[Income]]</f>
        <v>1</v>
      </c>
      <c r="Q274" s="59" t="s">
        <v>2201</v>
      </c>
      <c r="S274" s="59" t="e">
        <f>VLOOKUP(List129[[#This Row],[Afkorting]],$AF$288:$AF$307,1,FALSE)</f>
        <v>#N/A</v>
      </c>
      <c r="X274" s="59" t="s">
        <v>240</v>
      </c>
      <c r="Y274" s="59" t="e">
        <v>#N/A</v>
      </c>
      <c r="Z274" s="61" t="e">
        <f>IF(OR(List129[[#This Row],[Fragile 2018]]=1,List129[[#This Row],[Income]]="LDC"),1,"")</f>
        <v>#N/A</v>
      </c>
      <c r="AN274" s="59" t="s">
        <v>2730</v>
      </c>
      <c r="AO274" s="65"/>
      <c r="AQ274" s="65"/>
    </row>
    <row r="275" spans="1:43" x14ac:dyDescent="0.2">
      <c r="A275" s="59">
        <v>112</v>
      </c>
      <c r="C275" s="59" t="s">
        <v>2732</v>
      </c>
      <c r="D275" s="59" t="s">
        <v>2733</v>
      </c>
      <c r="E275" s="59" t="s">
        <v>2734</v>
      </c>
      <c r="F275" s="59" t="s">
        <v>2735</v>
      </c>
      <c r="G275" s="59" t="s">
        <v>2736</v>
      </c>
      <c r="K275" s="59" t="s">
        <v>2737</v>
      </c>
      <c r="O275" s="59" t="s">
        <v>2201</v>
      </c>
      <c r="P275" s="59" t="b">
        <f>List129[[#This Row],[Income2018]]=List129[[#This Row],[Income]]</f>
        <v>1</v>
      </c>
      <c r="Q275" s="59" t="s">
        <v>2201</v>
      </c>
      <c r="S275" s="59" t="e">
        <f>VLOOKUP(List129[[#This Row],[Afkorting]],$AF$288:$AF$307,1,FALSE)</f>
        <v>#N/A</v>
      </c>
      <c r="X275" s="59" t="s">
        <v>240</v>
      </c>
      <c r="Y275" s="59" t="e">
        <v>#N/A</v>
      </c>
      <c r="Z275" s="61" t="e">
        <f>IF(OR(List129[[#This Row],[Fragile 2018]]=1,List129[[#This Row],[Income]]="LDC"),1,"")</f>
        <v>#N/A</v>
      </c>
      <c r="AN275" s="59" t="s">
        <v>2732</v>
      </c>
      <c r="AO275" s="65"/>
      <c r="AQ275" s="65"/>
    </row>
    <row r="276" spans="1:43" x14ac:dyDescent="0.2">
      <c r="A276" s="59">
        <v>260</v>
      </c>
      <c r="C276" s="59" t="s">
        <v>2738</v>
      </c>
      <c r="D276" s="59" t="s">
        <v>2739</v>
      </c>
      <c r="E276" s="59" t="s">
        <v>2740</v>
      </c>
      <c r="F276" s="59" t="s">
        <v>2741</v>
      </c>
      <c r="G276" s="59" t="s">
        <v>2742</v>
      </c>
      <c r="J276" s="59">
        <v>576</v>
      </c>
      <c r="K276" s="59" t="s">
        <v>2743</v>
      </c>
      <c r="O276" s="59" t="s">
        <v>1901</v>
      </c>
      <c r="P276" s="59" t="b">
        <f>List129[[#This Row],[Income2018]]=List129[[#This Row],[Income]]</f>
        <v>1</v>
      </c>
      <c r="Q276" s="59" t="s">
        <v>2744</v>
      </c>
      <c r="S276" s="59" t="e">
        <f>VLOOKUP(List129[[#This Row],[Afkorting]],$AF$288:$AF$307,1,FALSE)</f>
        <v>#N/A</v>
      </c>
      <c r="X276" s="59" t="s">
        <v>240</v>
      </c>
      <c r="Y276" s="59" t="e">
        <v>#N/A</v>
      </c>
      <c r="Z276" s="61" t="e">
        <f>IF(OR(List129[[#This Row],[Fragile 2018]]=1,List129[[#This Row],[Income]]="LDC"),1,"")</f>
        <v>#N/A</v>
      </c>
      <c r="AN276" s="59" t="s">
        <v>2738</v>
      </c>
      <c r="AO276" s="65"/>
      <c r="AQ276" s="65"/>
    </row>
    <row r="277" spans="1:43" x14ac:dyDescent="0.2">
      <c r="A277" s="59">
        <v>402</v>
      </c>
      <c r="C277" s="59" t="s">
        <v>2745</v>
      </c>
      <c r="D277" s="59" t="s">
        <v>2746</v>
      </c>
      <c r="E277" s="59" t="s">
        <v>2747</v>
      </c>
      <c r="F277" s="59" t="s">
        <v>2748</v>
      </c>
      <c r="K277" s="59" t="s">
        <v>2748</v>
      </c>
      <c r="O277" s="59" t="s">
        <v>2201</v>
      </c>
      <c r="P277" s="59" t="b">
        <f>List129[[#This Row],[Income2018]]=List129[[#This Row],[Income]]</f>
        <v>1</v>
      </c>
      <c r="Q277" s="59" t="s">
        <v>2201</v>
      </c>
      <c r="S277" s="59" t="e">
        <f>VLOOKUP(List129[[#This Row],[Afkorting]],$AF$288:$AF$307,1,FALSE)</f>
        <v>#N/A</v>
      </c>
      <c r="X277" s="59" t="s">
        <v>240</v>
      </c>
      <c r="Y277" s="59" t="e">
        <v>#N/A</v>
      </c>
      <c r="Z277" s="61" t="e">
        <f>IF(OR(List129[[#This Row],[Fragile 2018]]=1,List129[[#This Row],[Income]]="LDC"),1,"")</f>
        <v>#N/A</v>
      </c>
      <c r="AN277" s="59" t="s">
        <v>2745</v>
      </c>
      <c r="AO277" s="65"/>
      <c r="AQ277" s="65"/>
    </row>
    <row r="278" spans="1:43" x14ac:dyDescent="0.2">
      <c r="A278" s="59">
        <v>703</v>
      </c>
      <c r="C278" s="59" t="s">
        <v>2749</v>
      </c>
      <c r="D278" s="59" t="s">
        <v>2749</v>
      </c>
      <c r="E278" s="59" t="s">
        <v>2749</v>
      </c>
      <c r="O278" s="59" t="s">
        <v>2201</v>
      </c>
      <c r="P278" s="59" t="b">
        <f>List129[[#This Row],[Income2018]]=List129[[#This Row],[Income]]</f>
        <v>1</v>
      </c>
      <c r="Q278" s="59" t="s">
        <v>2201</v>
      </c>
      <c r="S278" s="59" t="e">
        <f>VLOOKUP(List129[[#This Row],[Afkorting]],$AF$288:$AF$307,1,FALSE)</f>
        <v>#N/A</v>
      </c>
      <c r="X278" s="59" t="s">
        <v>240</v>
      </c>
      <c r="Y278" s="59" t="e">
        <v>#N/A</v>
      </c>
      <c r="Z278" s="61" t="e">
        <f>IF(OR(List129[[#This Row],[Fragile 2018]]=1,List129[[#This Row],[Income]]="LDC"),1,"")</f>
        <v>#N/A</v>
      </c>
      <c r="AN278" s="59" t="s">
        <v>2749</v>
      </c>
      <c r="AO278" s="65"/>
      <c r="AQ278" s="65"/>
    </row>
    <row r="279" spans="1:43" x14ac:dyDescent="0.2">
      <c r="A279" s="59">
        <v>704</v>
      </c>
      <c r="C279" s="59" t="s">
        <v>2750</v>
      </c>
      <c r="D279" s="59" t="s">
        <v>2750</v>
      </c>
      <c r="E279" s="59" t="s">
        <v>2750</v>
      </c>
      <c r="O279" s="59" t="s">
        <v>2201</v>
      </c>
      <c r="P279" s="59" t="b">
        <f>List129[[#This Row],[Income2018]]=List129[[#This Row],[Income]]</f>
        <v>1</v>
      </c>
      <c r="Q279" s="59" t="s">
        <v>2201</v>
      </c>
      <c r="S279" s="59" t="e">
        <f>VLOOKUP(List129[[#This Row],[Afkorting]],$AF$288:$AF$307,1,FALSE)</f>
        <v>#N/A</v>
      </c>
      <c r="X279" s="59" t="s">
        <v>240</v>
      </c>
      <c r="Y279" s="59" t="e">
        <v>#N/A</v>
      </c>
      <c r="Z279" s="61" t="e">
        <f>IF(OR(List129[[#This Row],[Fragile 2018]]=1,List129[[#This Row],[Income]]="LDC"),1,"")</f>
        <v>#N/A</v>
      </c>
      <c r="AN279" s="59" t="s">
        <v>2750</v>
      </c>
      <c r="AO279" s="65"/>
      <c r="AQ279" s="65"/>
    </row>
    <row r="280" spans="1:43" x14ac:dyDescent="0.2">
      <c r="A280" s="59">
        <v>126</v>
      </c>
      <c r="C280" s="59" t="s">
        <v>2751</v>
      </c>
      <c r="D280" s="59" t="s">
        <v>2752</v>
      </c>
      <c r="E280" s="59" t="s">
        <v>2753</v>
      </c>
      <c r="F280" s="59" t="s">
        <v>2754</v>
      </c>
      <c r="G280" s="59" t="s">
        <v>2755</v>
      </c>
      <c r="K280" s="59" t="s">
        <v>2756</v>
      </c>
      <c r="O280" s="59" t="s">
        <v>2201</v>
      </c>
      <c r="P280" s="59" t="b">
        <f>List129[[#This Row],[Income2018]]=List129[[#This Row],[Income]]</f>
        <v>1</v>
      </c>
      <c r="Q280" s="59" t="s">
        <v>2201</v>
      </c>
      <c r="S280" s="59" t="e">
        <f>VLOOKUP(List129[[#This Row],[Afkorting]],$AF$288:$AF$307,1,FALSE)</f>
        <v>#N/A</v>
      </c>
      <c r="X280" s="59" t="s">
        <v>240</v>
      </c>
      <c r="Y280" s="59" t="e">
        <v>#N/A</v>
      </c>
      <c r="Z280" s="61" t="e">
        <f>IF(OR(List129[[#This Row],[Fragile 2018]]=1,List129[[#This Row],[Income]]="LDC"),1,"")</f>
        <v>#N/A</v>
      </c>
      <c r="AN280" s="59" t="s">
        <v>2751</v>
      </c>
      <c r="AO280" s="65"/>
      <c r="AQ280" s="65"/>
    </row>
    <row r="281" spans="1:43" s="64" customFormat="1" x14ac:dyDescent="0.2">
      <c r="A281" s="59">
        <v>127</v>
      </c>
      <c r="B281" s="59"/>
      <c r="C281" s="59" t="s">
        <v>2757</v>
      </c>
      <c r="D281" s="59" t="s">
        <v>2758</v>
      </c>
      <c r="E281" s="59" t="s">
        <v>2759</v>
      </c>
      <c r="F281" s="59" t="s">
        <v>2760</v>
      </c>
      <c r="G281" s="59" t="s">
        <v>2761</v>
      </c>
      <c r="H281" s="59"/>
      <c r="I281" s="59"/>
      <c r="J281" s="59"/>
      <c r="K281" s="59" t="s">
        <v>2762</v>
      </c>
      <c r="L281" s="59"/>
      <c r="M281" s="59"/>
      <c r="N281" s="59"/>
      <c r="O281" s="59" t="s">
        <v>2201</v>
      </c>
      <c r="P281" s="59" t="b">
        <f>List129[[#This Row],[Income2018]]=List129[[#This Row],[Income]]</f>
        <v>1</v>
      </c>
      <c r="Q281" s="59" t="s">
        <v>2201</v>
      </c>
      <c r="R281" s="59"/>
      <c r="S281" s="59" t="e">
        <f>VLOOKUP(List129[[#This Row],[Afkorting]],$AF$288:$AF$307,1,FALSE)</f>
        <v>#N/A</v>
      </c>
      <c r="T281" s="59"/>
      <c r="U281" s="59"/>
      <c r="V281" s="59"/>
      <c r="W281" s="59"/>
      <c r="X281" s="59" t="s">
        <v>240</v>
      </c>
      <c r="Y281" s="59" t="e">
        <v>#N/A</v>
      </c>
      <c r="Z281" s="61" t="e">
        <f>IF(OR(List129[[#This Row],[Fragile 2018]]=1,List129[[#This Row],[Income]]="LDC"),1,"")</f>
        <v>#N/A</v>
      </c>
      <c r="AA281" s="59"/>
      <c r="AB281" s="59"/>
      <c r="AC281" s="59"/>
      <c r="AD281" s="59"/>
      <c r="AE281" s="59"/>
      <c r="AF281" s="59"/>
      <c r="AG281" s="59"/>
      <c r="AH281" s="59"/>
      <c r="AI281" s="59"/>
      <c r="AJ281" s="59"/>
      <c r="AK281" s="59"/>
      <c r="AL281" s="59"/>
      <c r="AM281" s="59"/>
      <c r="AN281" s="64" t="s">
        <v>2757</v>
      </c>
    </row>
    <row r="282" spans="1:43" x14ac:dyDescent="0.2">
      <c r="A282" s="90" t="s">
        <v>56</v>
      </c>
      <c r="B282" s="90"/>
      <c r="C282" s="90">
        <f>SUBTOTAL(103,List129[Omschrijving NL])</f>
        <v>280</v>
      </c>
      <c r="D282" s="90"/>
      <c r="E282" s="90"/>
      <c r="F282" s="90"/>
      <c r="G282" s="89"/>
      <c r="H282" s="89"/>
      <c r="I282" s="89"/>
      <c r="J282" s="90"/>
      <c r="K282" s="90"/>
      <c r="L282" s="90"/>
      <c r="M282" s="90"/>
      <c r="N282" s="90"/>
      <c r="O282" s="90"/>
      <c r="P282" s="90"/>
      <c r="Q282" s="90"/>
      <c r="R282" s="90"/>
      <c r="S282" s="90"/>
      <c r="T282" s="90"/>
      <c r="U282" s="90"/>
      <c r="V282" s="90"/>
      <c r="W282" s="91"/>
      <c r="X282" s="91"/>
      <c r="Y282" s="91"/>
      <c r="Z282" s="92"/>
      <c r="AA282" s="90"/>
      <c r="AB282" s="90"/>
      <c r="AC282" s="90"/>
      <c r="AD282" s="90"/>
      <c r="AE282" s="90"/>
      <c r="AF282" s="90"/>
      <c r="AG282" s="90"/>
      <c r="AH282" s="90"/>
      <c r="AI282" s="90"/>
      <c r="AJ282" s="90"/>
      <c r="AK282" s="90"/>
      <c r="AL282" s="90"/>
      <c r="AM282" s="90">
        <f>SUBTOTAL(109,List129[[Volgnummer ]])</f>
        <v>34673</v>
      </c>
      <c r="AN282" s="90" t="s">
        <v>2763</v>
      </c>
    </row>
    <row r="285" spans="1:43" ht="15.75" x14ac:dyDescent="0.2">
      <c r="R285" s="66" t="s">
        <v>1924</v>
      </c>
    </row>
    <row r="286" spans="1:43" ht="15.75" x14ac:dyDescent="0.2">
      <c r="R286" s="66" t="s">
        <v>1931</v>
      </c>
    </row>
    <row r="287" spans="1:43" ht="15.75" x14ac:dyDescent="0.2">
      <c r="R287" s="66" t="s">
        <v>1895</v>
      </c>
    </row>
    <row r="288" spans="1:43" ht="15.75" x14ac:dyDescent="0.2">
      <c r="R288" s="66" t="s">
        <v>2764</v>
      </c>
      <c r="AF288" s="59" t="s">
        <v>1264</v>
      </c>
    </row>
    <row r="289" spans="3:32" ht="15.75" x14ac:dyDescent="0.2">
      <c r="R289" s="66" t="s">
        <v>2765</v>
      </c>
      <c r="AF289" s="59" t="s">
        <v>1354</v>
      </c>
    </row>
    <row r="290" spans="3:32" ht="15.75" x14ac:dyDescent="0.2">
      <c r="C290" s="61"/>
      <c r="R290" s="66" t="s">
        <v>1944</v>
      </c>
      <c r="AF290" s="59" t="s">
        <v>1324</v>
      </c>
    </row>
    <row r="291" spans="3:32" ht="15.75" x14ac:dyDescent="0.2">
      <c r="R291" s="66" t="s">
        <v>2766</v>
      </c>
      <c r="AF291" s="59" t="s">
        <v>1351</v>
      </c>
    </row>
    <row r="292" spans="3:32" ht="15.75" x14ac:dyDescent="0.2">
      <c r="R292" s="66" t="s">
        <v>1991</v>
      </c>
      <c r="AF292" s="59" t="s">
        <v>1333</v>
      </c>
    </row>
    <row r="293" spans="3:32" ht="15.75" x14ac:dyDescent="0.2">
      <c r="R293" s="66" t="s">
        <v>2027</v>
      </c>
      <c r="AF293" s="59" t="s">
        <v>1410</v>
      </c>
    </row>
    <row r="294" spans="3:32" ht="15.75" x14ac:dyDescent="0.2">
      <c r="R294" s="66" t="s">
        <v>2767</v>
      </c>
      <c r="AF294" s="59" t="s">
        <v>1448</v>
      </c>
    </row>
    <row r="295" spans="3:32" x14ac:dyDescent="0.2">
      <c r="R295" s="59" t="s">
        <v>2768</v>
      </c>
      <c r="AF295" s="59" t="s">
        <v>1540</v>
      </c>
    </row>
    <row r="296" spans="3:32" ht="15.75" x14ac:dyDescent="0.2">
      <c r="C296" s="61"/>
      <c r="R296" s="66" t="s">
        <v>2244</v>
      </c>
      <c r="AF296" s="59" t="s">
        <v>1542</v>
      </c>
    </row>
    <row r="297" spans="3:32" ht="15.75" x14ac:dyDescent="0.2">
      <c r="R297" s="66" t="s">
        <v>2275</v>
      </c>
      <c r="AF297" s="59" t="s">
        <v>1577</v>
      </c>
    </row>
    <row r="298" spans="3:32" ht="15.75" x14ac:dyDescent="0.2">
      <c r="R298" s="66" t="s">
        <v>2317</v>
      </c>
      <c r="AF298" s="59" t="s">
        <v>1593</v>
      </c>
    </row>
    <row r="299" spans="3:32" x14ac:dyDescent="0.2">
      <c r="AF299" s="59" t="s">
        <v>1625</v>
      </c>
    </row>
    <row r="300" spans="3:32" x14ac:dyDescent="0.2">
      <c r="AF300" s="59" t="s">
        <v>1615</v>
      </c>
    </row>
    <row r="301" spans="3:32" x14ac:dyDescent="0.2">
      <c r="C301" s="61"/>
      <c r="AF301" s="59" t="s">
        <v>1385</v>
      </c>
    </row>
    <row r="302" spans="3:32" x14ac:dyDescent="0.2">
      <c r="AF302" s="59" t="s">
        <v>1626</v>
      </c>
    </row>
    <row r="303" spans="3:32" x14ac:dyDescent="0.2">
      <c r="AF303" s="59" t="s">
        <v>1754</v>
      </c>
    </row>
    <row r="304" spans="3:32" x14ac:dyDescent="0.2">
      <c r="AF304" s="59" t="s">
        <v>1643</v>
      </c>
    </row>
    <row r="305" spans="32:32" x14ac:dyDescent="0.2">
      <c r="AF305" s="59" t="s">
        <v>1685</v>
      </c>
    </row>
    <row r="306" spans="32:32" x14ac:dyDescent="0.2">
      <c r="AF306" s="59" t="s">
        <v>1728</v>
      </c>
    </row>
    <row r="307" spans="32:32" x14ac:dyDescent="0.2">
      <c r="AF307" s="59" t="s">
        <v>1735</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85546875" defaultRowHeight="15" x14ac:dyDescent="0.25"/>
  <cols>
    <col min="1" max="57" width="2.42578125" customWidth="1"/>
  </cols>
  <sheetData>
    <row r="1" spans="1:113" x14ac:dyDescent="0.2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35" t="s">
        <v>694</v>
      </c>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7"/>
    </row>
    <row r="2" spans="1:113" x14ac:dyDescent="0.25">
      <c r="A2" s="4"/>
      <c r="B2" s="258" t="s">
        <v>695</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51"/>
      <c r="AZ2" s="259"/>
      <c r="BA2" s="248"/>
      <c r="BB2" s="248"/>
      <c r="BC2" s="248"/>
      <c r="BD2" s="251"/>
      <c r="BE2" s="5"/>
      <c r="BG2" s="238"/>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40"/>
    </row>
    <row r="3" spans="1:113" x14ac:dyDescent="0.2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38"/>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40"/>
    </row>
    <row r="4" spans="1:113" x14ac:dyDescent="0.25">
      <c r="A4" s="4"/>
      <c r="B4" s="7"/>
      <c r="C4" s="260" t="s">
        <v>696</v>
      </c>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51"/>
      <c r="AZ4" s="261"/>
      <c r="BA4" s="248"/>
      <c r="BB4" s="248"/>
      <c r="BC4" s="248"/>
      <c r="BD4" s="251"/>
      <c r="BE4" s="5"/>
      <c r="BG4" s="238"/>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40"/>
    </row>
    <row r="5" spans="1:113" x14ac:dyDescent="0.25">
      <c r="A5" s="4"/>
      <c r="B5" s="267" t="s">
        <v>697</v>
      </c>
      <c r="C5" s="248"/>
      <c r="D5" s="248"/>
      <c r="E5" s="248"/>
      <c r="F5" s="248"/>
      <c r="G5" s="248"/>
      <c r="H5" s="248"/>
      <c r="I5" s="248"/>
      <c r="J5" s="248"/>
      <c r="K5" s="248"/>
      <c r="L5" s="248"/>
      <c r="M5" s="248"/>
      <c r="N5" s="251"/>
      <c r="O5" s="255" t="s">
        <v>698</v>
      </c>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51"/>
      <c r="BE5" s="5"/>
      <c r="BG5" t="s">
        <v>699</v>
      </c>
    </row>
    <row r="6" spans="1:113" x14ac:dyDescent="0.2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75" thickBot="1" x14ac:dyDescent="0.3">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25">
      <c r="A8" s="4"/>
      <c r="B8" s="262" t="s">
        <v>87</v>
      </c>
      <c r="C8" s="263"/>
      <c r="D8" s="263"/>
      <c r="E8" s="263"/>
      <c r="F8" s="263"/>
      <c r="G8" s="263"/>
      <c r="H8" s="263"/>
      <c r="I8" s="263"/>
      <c r="J8" s="263"/>
      <c r="K8" s="263"/>
      <c r="L8" s="263"/>
      <c r="M8" s="263"/>
      <c r="N8" s="264"/>
      <c r="O8" s="265">
        <v>2022</v>
      </c>
      <c r="P8" s="263"/>
      <c r="Q8" s="263"/>
      <c r="R8" s="263"/>
      <c r="S8" s="263"/>
      <c r="T8" s="263"/>
      <c r="U8" s="264"/>
      <c r="V8" s="265">
        <v>2023</v>
      </c>
      <c r="W8" s="263"/>
      <c r="X8" s="263"/>
      <c r="Y8" s="263"/>
      <c r="Z8" s="263"/>
      <c r="AA8" s="263"/>
      <c r="AB8" s="264"/>
      <c r="AC8" s="265">
        <v>2024</v>
      </c>
      <c r="AD8" s="263"/>
      <c r="AE8" s="263"/>
      <c r="AF8" s="263"/>
      <c r="AG8" s="263"/>
      <c r="AH8" s="263"/>
      <c r="AI8" s="264"/>
      <c r="AJ8" s="265">
        <v>2025</v>
      </c>
      <c r="AK8" s="263"/>
      <c r="AL8" s="263"/>
      <c r="AM8" s="263"/>
      <c r="AN8" s="263"/>
      <c r="AO8" s="263"/>
      <c r="AP8" s="264"/>
      <c r="AQ8" s="265">
        <v>2026</v>
      </c>
      <c r="AR8" s="263"/>
      <c r="AS8" s="263"/>
      <c r="AT8" s="263"/>
      <c r="AU8" s="263"/>
      <c r="AV8" s="263"/>
      <c r="AW8" s="264"/>
      <c r="AX8" s="265" t="s">
        <v>78</v>
      </c>
      <c r="AY8" s="263"/>
      <c r="AZ8" s="263"/>
      <c r="BA8" s="263"/>
      <c r="BB8" s="263"/>
      <c r="BC8" s="263"/>
      <c r="BD8" s="266"/>
      <c r="BE8" s="5"/>
    </row>
    <row r="9" spans="1:113" x14ac:dyDescent="0.25">
      <c r="A9" s="4"/>
      <c r="B9" s="257" t="s">
        <v>130</v>
      </c>
      <c r="C9" s="248"/>
      <c r="D9" s="248"/>
      <c r="E9" s="248"/>
      <c r="F9" s="248"/>
      <c r="G9" s="248"/>
      <c r="H9" s="248"/>
      <c r="I9" s="248"/>
      <c r="J9" s="248"/>
      <c r="K9" s="248"/>
      <c r="L9" s="248"/>
      <c r="M9" s="248"/>
      <c r="N9" s="251"/>
      <c r="O9" s="256" t="s">
        <v>701</v>
      </c>
      <c r="P9" s="248"/>
      <c r="Q9" s="248"/>
      <c r="R9" s="248"/>
      <c r="S9" s="248"/>
      <c r="T9" s="248"/>
      <c r="U9" s="251"/>
      <c r="V9" s="256" t="s">
        <v>701</v>
      </c>
      <c r="W9" s="248"/>
      <c r="X9" s="248"/>
      <c r="Y9" s="248"/>
      <c r="Z9" s="248"/>
      <c r="AA9" s="248"/>
      <c r="AB9" s="251"/>
      <c r="AC9" s="256" t="s">
        <v>701</v>
      </c>
      <c r="AD9" s="248"/>
      <c r="AE9" s="248"/>
      <c r="AF9" s="248"/>
      <c r="AG9" s="248"/>
      <c r="AH9" s="248"/>
      <c r="AI9" s="251"/>
      <c r="AJ9" s="256" t="s">
        <v>701</v>
      </c>
      <c r="AK9" s="248"/>
      <c r="AL9" s="248"/>
      <c r="AM9" s="248"/>
      <c r="AN9" s="248"/>
      <c r="AO9" s="248"/>
      <c r="AP9" s="251"/>
      <c r="AQ9" s="256" t="s">
        <v>701</v>
      </c>
      <c r="AR9" s="248"/>
      <c r="AS9" s="248"/>
      <c r="AT9" s="248"/>
      <c r="AU9" s="248"/>
      <c r="AV9" s="248"/>
      <c r="AW9" s="251"/>
      <c r="AX9" s="256" t="s">
        <v>701</v>
      </c>
      <c r="AY9" s="248"/>
      <c r="AZ9" s="248"/>
      <c r="BA9" s="248"/>
      <c r="BB9" s="248"/>
      <c r="BC9" s="248"/>
      <c r="BD9" s="249"/>
      <c r="BE9" s="5"/>
    </row>
    <row r="10" spans="1:113" x14ac:dyDescent="0.25">
      <c r="A10" s="4"/>
      <c r="B10" s="253" t="s">
        <v>132</v>
      </c>
      <c r="C10" s="248"/>
      <c r="D10" s="248"/>
      <c r="E10" s="248"/>
      <c r="F10" s="248"/>
      <c r="G10" s="248"/>
      <c r="H10" s="248"/>
      <c r="I10" s="248"/>
      <c r="J10" s="248"/>
      <c r="K10" s="248"/>
      <c r="L10" s="248"/>
      <c r="M10" s="248"/>
      <c r="N10" s="251"/>
      <c r="O10" s="254" t="s">
        <v>701</v>
      </c>
      <c r="P10" s="248"/>
      <c r="Q10" s="248"/>
      <c r="R10" s="248"/>
      <c r="S10" s="248"/>
      <c r="T10" s="248"/>
      <c r="U10" s="251"/>
      <c r="V10" s="254" t="s">
        <v>701</v>
      </c>
      <c r="W10" s="248"/>
      <c r="X10" s="248"/>
      <c r="Y10" s="248"/>
      <c r="Z10" s="248"/>
      <c r="AA10" s="248"/>
      <c r="AB10" s="251"/>
      <c r="AC10" s="254" t="s">
        <v>701</v>
      </c>
      <c r="AD10" s="248"/>
      <c r="AE10" s="248"/>
      <c r="AF10" s="248"/>
      <c r="AG10" s="248"/>
      <c r="AH10" s="248"/>
      <c r="AI10" s="251"/>
      <c r="AJ10" s="254" t="s">
        <v>701</v>
      </c>
      <c r="AK10" s="248"/>
      <c r="AL10" s="248"/>
      <c r="AM10" s="248"/>
      <c r="AN10" s="248"/>
      <c r="AO10" s="248"/>
      <c r="AP10" s="251"/>
      <c r="AQ10" s="254" t="s">
        <v>701</v>
      </c>
      <c r="AR10" s="248"/>
      <c r="AS10" s="248"/>
      <c r="AT10" s="248"/>
      <c r="AU10" s="248"/>
      <c r="AV10" s="248"/>
      <c r="AW10" s="251"/>
      <c r="AX10" s="254" t="s">
        <v>701</v>
      </c>
      <c r="AY10" s="248"/>
      <c r="AZ10" s="248"/>
      <c r="BA10" s="248"/>
      <c r="BB10" s="248"/>
      <c r="BC10" s="248"/>
      <c r="BD10" s="249"/>
      <c r="BE10" s="5"/>
    </row>
    <row r="11" spans="1:113" x14ac:dyDescent="0.25">
      <c r="A11" s="4"/>
      <c r="B11" s="250" t="s">
        <v>134</v>
      </c>
      <c r="C11" s="248"/>
      <c r="D11" s="248"/>
      <c r="E11" s="248"/>
      <c r="F11" s="248"/>
      <c r="G11" s="248"/>
      <c r="H11" s="248"/>
      <c r="I11" s="248"/>
      <c r="J11" s="248"/>
      <c r="K11" s="248"/>
      <c r="L11" s="248"/>
      <c r="M11" s="248"/>
      <c r="N11" s="251"/>
      <c r="O11" s="255" t="s">
        <v>702</v>
      </c>
      <c r="P11" s="248"/>
      <c r="Q11" s="248"/>
      <c r="R11" s="248"/>
      <c r="S11" s="248"/>
      <c r="T11" s="248"/>
      <c r="U11" s="251"/>
      <c r="V11" s="252"/>
      <c r="W11" s="248"/>
      <c r="X11" s="248"/>
      <c r="Y11" s="248"/>
      <c r="Z11" s="248"/>
      <c r="AA11" s="248"/>
      <c r="AB11" s="251"/>
      <c r="AC11" s="252"/>
      <c r="AD11" s="248"/>
      <c r="AE11" s="248"/>
      <c r="AF11" s="248"/>
      <c r="AG11" s="248"/>
      <c r="AH11" s="248"/>
      <c r="AI11" s="251"/>
      <c r="AJ11" s="252"/>
      <c r="AK11" s="248"/>
      <c r="AL11" s="248"/>
      <c r="AM11" s="248"/>
      <c r="AN11" s="248"/>
      <c r="AO11" s="248"/>
      <c r="AP11" s="251"/>
      <c r="AQ11" s="252"/>
      <c r="AR11" s="248"/>
      <c r="AS11" s="248"/>
      <c r="AT11" s="248"/>
      <c r="AU11" s="248"/>
      <c r="AV11" s="248"/>
      <c r="AW11" s="251"/>
      <c r="AX11" s="247" t="s">
        <v>701</v>
      </c>
      <c r="AY11" s="248"/>
      <c r="AZ11" s="248"/>
      <c r="BA11" s="248"/>
      <c r="BB11" s="248"/>
      <c r="BC11" s="248"/>
      <c r="BD11" s="249"/>
      <c r="BE11" s="5"/>
    </row>
    <row r="12" spans="1:113" x14ac:dyDescent="0.25">
      <c r="A12" s="4"/>
      <c r="B12" s="250" t="s">
        <v>137</v>
      </c>
      <c r="C12" s="248"/>
      <c r="D12" s="248"/>
      <c r="E12" s="248"/>
      <c r="F12" s="248"/>
      <c r="G12" s="248"/>
      <c r="H12" s="248"/>
      <c r="I12" s="248"/>
      <c r="J12" s="248"/>
      <c r="K12" s="248"/>
      <c r="L12" s="248"/>
      <c r="M12" s="248"/>
      <c r="N12" s="251"/>
      <c r="O12" s="252"/>
      <c r="P12" s="248"/>
      <c r="Q12" s="248"/>
      <c r="R12" s="248"/>
      <c r="S12" s="248"/>
      <c r="T12" s="248"/>
      <c r="U12" s="251"/>
      <c r="V12" s="252"/>
      <c r="W12" s="248"/>
      <c r="X12" s="248"/>
      <c r="Y12" s="248"/>
      <c r="Z12" s="248"/>
      <c r="AA12" s="248"/>
      <c r="AB12" s="251"/>
      <c r="AC12" s="252"/>
      <c r="AD12" s="248"/>
      <c r="AE12" s="248"/>
      <c r="AF12" s="248"/>
      <c r="AG12" s="248"/>
      <c r="AH12" s="248"/>
      <c r="AI12" s="251"/>
      <c r="AJ12" s="252"/>
      <c r="AK12" s="248"/>
      <c r="AL12" s="248"/>
      <c r="AM12" s="248"/>
      <c r="AN12" s="248"/>
      <c r="AO12" s="248"/>
      <c r="AP12" s="251"/>
      <c r="AQ12" s="252"/>
      <c r="AR12" s="248"/>
      <c r="AS12" s="248"/>
      <c r="AT12" s="248"/>
      <c r="AU12" s="248"/>
      <c r="AV12" s="248"/>
      <c r="AW12" s="251"/>
      <c r="AX12" s="247" t="s">
        <v>701</v>
      </c>
      <c r="AY12" s="248"/>
      <c r="AZ12" s="248"/>
      <c r="BA12" s="248"/>
      <c r="BB12" s="248"/>
      <c r="BC12" s="248"/>
      <c r="BD12" s="249"/>
      <c r="BE12" s="5"/>
    </row>
    <row r="13" spans="1:113" x14ac:dyDescent="0.25">
      <c r="A13" s="4"/>
      <c r="B13" s="250" t="s">
        <v>703</v>
      </c>
      <c r="C13" s="248"/>
      <c r="D13" s="248"/>
      <c r="E13" s="248"/>
      <c r="F13" s="248"/>
      <c r="G13" s="248"/>
      <c r="H13" s="248"/>
      <c r="I13" s="248"/>
      <c r="J13" s="248"/>
      <c r="K13" s="248"/>
      <c r="L13" s="248"/>
      <c r="M13" s="248"/>
      <c r="N13" s="251"/>
      <c r="O13" s="252"/>
      <c r="P13" s="248"/>
      <c r="Q13" s="248"/>
      <c r="R13" s="248"/>
      <c r="S13" s="248"/>
      <c r="T13" s="248"/>
      <c r="U13" s="251"/>
      <c r="V13" s="252"/>
      <c r="W13" s="248"/>
      <c r="X13" s="248"/>
      <c r="Y13" s="248"/>
      <c r="Z13" s="248"/>
      <c r="AA13" s="248"/>
      <c r="AB13" s="251"/>
      <c r="AC13" s="252"/>
      <c r="AD13" s="248"/>
      <c r="AE13" s="248"/>
      <c r="AF13" s="248"/>
      <c r="AG13" s="248"/>
      <c r="AH13" s="248"/>
      <c r="AI13" s="251"/>
      <c r="AJ13" s="252"/>
      <c r="AK13" s="248"/>
      <c r="AL13" s="248"/>
      <c r="AM13" s="248"/>
      <c r="AN13" s="248"/>
      <c r="AO13" s="248"/>
      <c r="AP13" s="251"/>
      <c r="AQ13" s="252"/>
      <c r="AR13" s="248"/>
      <c r="AS13" s="248"/>
      <c r="AT13" s="248"/>
      <c r="AU13" s="248"/>
      <c r="AV13" s="248"/>
      <c r="AW13" s="251"/>
      <c r="AX13" s="247" t="s">
        <v>701</v>
      </c>
      <c r="AY13" s="248"/>
      <c r="AZ13" s="248"/>
      <c r="BA13" s="248"/>
      <c r="BB13" s="248"/>
      <c r="BC13" s="248"/>
      <c r="BD13" s="249"/>
      <c r="BE13" s="5"/>
    </row>
    <row r="14" spans="1:113" x14ac:dyDescent="0.25">
      <c r="A14" s="4"/>
      <c r="B14" s="253" t="s">
        <v>141</v>
      </c>
      <c r="C14" s="248"/>
      <c r="D14" s="248"/>
      <c r="E14" s="248"/>
      <c r="F14" s="248"/>
      <c r="G14" s="248"/>
      <c r="H14" s="248"/>
      <c r="I14" s="248"/>
      <c r="J14" s="248"/>
      <c r="K14" s="248"/>
      <c r="L14" s="248"/>
      <c r="M14" s="248"/>
      <c r="N14" s="251"/>
      <c r="O14" s="254" t="s">
        <v>701</v>
      </c>
      <c r="P14" s="248"/>
      <c r="Q14" s="248"/>
      <c r="R14" s="248"/>
      <c r="S14" s="248"/>
      <c r="T14" s="248"/>
      <c r="U14" s="251"/>
      <c r="V14" s="254" t="s">
        <v>701</v>
      </c>
      <c r="W14" s="248"/>
      <c r="X14" s="248"/>
      <c r="Y14" s="248"/>
      <c r="Z14" s="248"/>
      <c r="AA14" s="248"/>
      <c r="AB14" s="251"/>
      <c r="AC14" s="254" t="s">
        <v>701</v>
      </c>
      <c r="AD14" s="248"/>
      <c r="AE14" s="248"/>
      <c r="AF14" s="248"/>
      <c r="AG14" s="248"/>
      <c r="AH14" s="248"/>
      <c r="AI14" s="251"/>
      <c r="AJ14" s="254" t="s">
        <v>701</v>
      </c>
      <c r="AK14" s="248"/>
      <c r="AL14" s="248"/>
      <c r="AM14" s="248"/>
      <c r="AN14" s="248"/>
      <c r="AO14" s="248"/>
      <c r="AP14" s="251"/>
      <c r="AQ14" s="254" t="s">
        <v>701</v>
      </c>
      <c r="AR14" s="248"/>
      <c r="AS14" s="248"/>
      <c r="AT14" s="248"/>
      <c r="AU14" s="248"/>
      <c r="AV14" s="248"/>
      <c r="AW14" s="251"/>
      <c r="AX14" s="254" t="s">
        <v>701</v>
      </c>
      <c r="AY14" s="248"/>
      <c r="AZ14" s="248"/>
      <c r="BA14" s="248"/>
      <c r="BB14" s="248"/>
      <c r="BC14" s="248"/>
      <c r="BD14" s="249"/>
      <c r="BE14" s="5"/>
    </row>
    <row r="15" spans="1:113" x14ac:dyDescent="0.25">
      <c r="A15" s="4"/>
      <c r="B15" s="250" t="s">
        <v>143</v>
      </c>
      <c r="C15" s="248"/>
      <c r="D15" s="248"/>
      <c r="E15" s="248"/>
      <c r="F15" s="248"/>
      <c r="G15" s="248"/>
      <c r="H15" s="248"/>
      <c r="I15" s="248"/>
      <c r="J15" s="248"/>
      <c r="K15" s="248"/>
      <c r="L15" s="248"/>
      <c r="M15" s="248"/>
      <c r="N15" s="251"/>
      <c r="O15" s="252"/>
      <c r="P15" s="248"/>
      <c r="Q15" s="248"/>
      <c r="R15" s="248"/>
      <c r="S15" s="248"/>
      <c r="T15" s="248"/>
      <c r="U15" s="251"/>
      <c r="V15" s="252"/>
      <c r="W15" s="248"/>
      <c r="X15" s="248"/>
      <c r="Y15" s="248"/>
      <c r="Z15" s="248"/>
      <c r="AA15" s="248"/>
      <c r="AB15" s="251"/>
      <c r="AC15" s="252"/>
      <c r="AD15" s="248"/>
      <c r="AE15" s="248"/>
      <c r="AF15" s="248"/>
      <c r="AG15" s="248"/>
      <c r="AH15" s="248"/>
      <c r="AI15" s="251"/>
      <c r="AJ15" s="252"/>
      <c r="AK15" s="248"/>
      <c r="AL15" s="248"/>
      <c r="AM15" s="248"/>
      <c r="AN15" s="248"/>
      <c r="AO15" s="248"/>
      <c r="AP15" s="251"/>
      <c r="AQ15" s="252"/>
      <c r="AR15" s="248"/>
      <c r="AS15" s="248"/>
      <c r="AT15" s="248"/>
      <c r="AU15" s="248"/>
      <c r="AV15" s="248"/>
      <c r="AW15" s="251"/>
      <c r="AX15" s="247" t="s">
        <v>701</v>
      </c>
      <c r="AY15" s="248"/>
      <c r="AZ15" s="248"/>
      <c r="BA15" s="248"/>
      <c r="BB15" s="248"/>
      <c r="BC15" s="248"/>
      <c r="BD15" s="249"/>
      <c r="BE15" s="5"/>
    </row>
    <row r="16" spans="1:113" x14ac:dyDescent="0.25">
      <c r="A16" s="4"/>
      <c r="B16" s="250" t="s">
        <v>145</v>
      </c>
      <c r="C16" s="248"/>
      <c r="D16" s="248"/>
      <c r="E16" s="248"/>
      <c r="F16" s="248"/>
      <c r="G16" s="248"/>
      <c r="H16" s="248"/>
      <c r="I16" s="248"/>
      <c r="J16" s="248"/>
      <c r="K16" s="248"/>
      <c r="L16" s="248"/>
      <c r="M16" s="248"/>
      <c r="N16" s="251"/>
      <c r="O16" s="252"/>
      <c r="P16" s="248"/>
      <c r="Q16" s="248"/>
      <c r="R16" s="248"/>
      <c r="S16" s="248"/>
      <c r="T16" s="248"/>
      <c r="U16" s="251"/>
      <c r="V16" s="252"/>
      <c r="W16" s="248"/>
      <c r="X16" s="248"/>
      <c r="Y16" s="248"/>
      <c r="Z16" s="248"/>
      <c r="AA16" s="248"/>
      <c r="AB16" s="251"/>
      <c r="AC16" s="252"/>
      <c r="AD16" s="248"/>
      <c r="AE16" s="248"/>
      <c r="AF16" s="248"/>
      <c r="AG16" s="248"/>
      <c r="AH16" s="248"/>
      <c r="AI16" s="251"/>
      <c r="AJ16" s="252"/>
      <c r="AK16" s="248"/>
      <c r="AL16" s="248"/>
      <c r="AM16" s="248"/>
      <c r="AN16" s="248"/>
      <c r="AO16" s="248"/>
      <c r="AP16" s="251"/>
      <c r="AQ16" s="252"/>
      <c r="AR16" s="248"/>
      <c r="AS16" s="248"/>
      <c r="AT16" s="248"/>
      <c r="AU16" s="248"/>
      <c r="AV16" s="248"/>
      <c r="AW16" s="251"/>
      <c r="AX16" s="247" t="s">
        <v>701</v>
      </c>
      <c r="AY16" s="248"/>
      <c r="AZ16" s="248"/>
      <c r="BA16" s="248"/>
      <c r="BB16" s="248"/>
      <c r="BC16" s="248"/>
      <c r="BD16" s="249"/>
      <c r="BE16" s="5"/>
    </row>
    <row r="17" spans="1:57" x14ac:dyDescent="0.25">
      <c r="A17" s="4"/>
      <c r="B17" s="250" t="s">
        <v>704</v>
      </c>
      <c r="C17" s="248"/>
      <c r="D17" s="248"/>
      <c r="E17" s="248"/>
      <c r="F17" s="248"/>
      <c r="G17" s="248"/>
      <c r="H17" s="248"/>
      <c r="I17" s="248"/>
      <c r="J17" s="248"/>
      <c r="K17" s="248"/>
      <c r="L17" s="248"/>
      <c r="M17" s="248"/>
      <c r="N17" s="251"/>
      <c r="O17" s="252"/>
      <c r="P17" s="248"/>
      <c r="Q17" s="248"/>
      <c r="R17" s="248"/>
      <c r="S17" s="248"/>
      <c r="T17" s="248"/>
      <c r="U17" s="251"/>
      <c r="V17" s="252"/>
      <c r="W17" s="248"/>
      <c r="X17" s="248"/>
      <c r="Y17" s="248"/>
      <c r="Z17" s="248"/>
      <c r="AA17" s="248"/>
      <c r="AB17" s="251"/>
      <c r="AC17" s="252"/>
      <c r="AD17" s="248"/>
      <c r="AE17" s="248"/>
      <c r="AF17" s="248"/>
      <c r="AG17" s="248"/>
      <c r="AH17" s="248"/>
      <c r="AI17" s="251"/>
      <c r="AJ17" s="252"/>
      <c r="AK17" s="248"/>
      <c r="AL17" s="248"/>
      <c r="AM17" s="248"/>
      <c r="AN17" s="248"/>
      <c r="AO17" s="248"/>
      <c r="AP17" s="251"/>
      <c r="AQ17" s="252"/>
      <c r="AR17" s="248"/>
      <c r="AS17" s="248"/>
      <c r="AT17" s="248"/>
      <c r="AU17" s="248"/>
      <c r="AV17" s="248"/>
      <c r="AW17" s="251"/>
      <c r="AX17" s="247" t="s">
        <v>701</v>
      </c>
      <c r="AY17" s="248"/>
      <c r="AZ17" s="248"/>
      <c r="BA17" s="248"/>
      <c r="BB17" s="248"/>
      <c r="BC17" s="248"/>
      <c r="BD17" s="249"/>
      <c r="BE17" s="5"/>
    </row>
    <row r="18" spans="1:57" ht="17.25" x14ac:dyDescent="0.25">
      <c r="A18" s="4"/>
      <c r="B18" s="253" t="s">
        <v>705</v>
      </c>
      <c r="C18" s="248"/>
      <c r="D18" s="248"/>
      <c r="E18" s="248"/>
      <c r="F18" s="248"/>
      <c r="G18" s="248"/>
      <c r="H18" s="248"/>
      <c r="I18" s="248"/>
      <c r="J18" s="248"/>
      <c r="K18" s="248"/>
      <c r="L18" s="248"/>
      <c r="M18" s="248"/>
      <c r="N18" s="251"/>
      <c r="O18" s="254" t="s">
        <v>701</v>
      </c>
      <c r="P18" s="248"/>
      <c r="Q18" s="248"/>
      <c r="R18" s="248"/>
      <c r="S18" s="248"/>
      <c r="T18" s="248"/>
      <c r="U18" s="251"/>
      <c r="V18" s="254" t="s">
        <v>701</v>
      </c>
      <c r="W18" s="248"/>
      <c r="X18" s="248"/>
      <c r="Y18" s="248"/>
      <c r="Z18" s="248"/>
      <c r="AA18" s="248"/>
      <c r="AB18" s="251"/>
      <c r="AC18" s="254" t="s">
        <v>701</v>
      </c>
      <c r="AD18" s="248"/>
      <c r="AE18" s="248"/>
      <c r="AF18" s="248"/>
      <c r="AG18" s="248"/>
      <c r="AH18" s="248"/>
      <c r="AI18" s="251"/>
      <c r="AJ18" s="254" t="s">
        <v>701</v>
      </c>
      <c r="AK18" s="248"/>
      <c r="AL18" s="248"/>
      <c r="AM18" s="248"/>
      <c r="AN18" s="248"/>
      <c r="AO18" s="248"/>
      <c r="AP18" s="251"/>
      <c r="AQ18" s="254" t="s">
        <v>701</v>
      </c>
      <c r="AR18" s="248"/>
      <c r="AS18" s="248"/>
      <c r="AT18" s="248"/>
      <c r="AU18" s="248"/>
      <c r="AV18" s="248"/>
      <c r="AW18" s="251"/>
      <c r="AX18" s="254" t="s">
        <v>701</v>
      </c>
      <c r="AY18" s="248"/>
      <c r="AZ18" s="248"/>
      <c r="BA18" s="248"/>
      <c r="BB18" s="248"/>
      <c r="BC18" s="248"/>
      <c r="BD18" s="249"/>
      <c r="BE18" s="5"/>
    </row>
    <row r="19" spans="1:57" x14ac:dyDescent="0.25">
      <c r="A19" s="4"/>
      <c r="B19" s="250" t="s">
        <v>151</v>
      </c>
      <c r="C19" s="248"/>
      <c r="D19" s="248"/>
      <c r="E19" s="248"/>
      <c r="F19" s="248"/>
      <c r="G19" s="248"/>
      <c r="H19" s="248"/>
      <c r="I19" s="248"/>
      <c r="J19" s="248"/>
      <c r="K19" s="248"/>
      <c r="L19" s="248"/>
      <c r="M19" s="248"/>
      <c r="N19" s="251"/>
      <c r="O19" s="252"/>
      <c r="P19" s="248"/>
      <c r="Q19" s="248"/>
      <c r="R19" s="248"/>
      <c r="S19" s="248"/>
      <c r="T19" s="248"/>
      <c r="U19" s="251"/>
      <c r="V19" s="252"/>
      <c r="W19" s="248"/>
      <c r="X19" s="248"/>
      <c r="Y19" s="248"/>
      <c r="Z19" s="248"/>
      <c r="AA19" s="248"/>
      <c r="AB19" s="251"/>
      <c r="AC19" s="252"/>
      <c r="AD19" s="248"/>
      <c r="AE19" s="248"/>
      <c r="AF19" s="248"/>
      <c r="AG19" s="248"/>
      <c r="AH19" s="248"/>
      <c r="AI19" s="251"/>
      <c r="AJ19" s="252"/>
      <c r="AK19" s="248"/>
      <c r="AL19" s="248"/>
      <c r="AM19" s="248"/>
      <c r="AN19" s="248"/>
      <c r="AO19" s="248"/>
      <c r="AP19" s="251"/>
      <c r="AQ19" s="252"/>
      <c r="AR19" s="248"/>
      <c r="AS19" s="248"/>
      <c r="AT19" s="248"/>
      <c r="AU19" s="248"/>
      <c r="AV19" s="248"/>
      <c r="AW19" s="251"/>
      <c r="AX19" s="247" t="s">
        <v>701</v>
      </c>
      <c r="AY19" s="248"/>
      <c r="AZ19" s="248"/>
      <c r="BA19" s="248"/>
      <c r="BB19" s="248"/>
      <c r="BC19" s="248"/>
      <c r="BD19" s="249"/>
      <c r="BE19" s="5"/>
    </row>
    <row r="20" spans="1:57" x14ac:dyDescent="0.25">
      <c r="A20" s="4"/>
      <c r="B20" s="250" t="s">
        <v>153</v>
      </c>
      <c r="C20" s="248"/>
      <c r="D20" s="248"/>
      <c r="E20" s="248"/>
      <c r="F20" s="248"/>
      <c r="G20" s="248"/>
      <c r="H20" s="248"/>
      <c r="I20" s="248"/>
      <c r="J20" s="248"/>
      <c r="K20" s="248"/>
      <c r="L20" s="248"/>
      <c r="M20" s="248"/>
      <c r="N20" s="251"/>
      <c r="O20" s="252"/>
      <c r="P20" s="248"/>
      <c r="Q20" s="248"/>
      <c r="R20" s="248"/>
      <c r="S20" s="248"/>
      <c r="T20" s="248"/>
      <c r="U20" s="251"/>
      <c r="V20" s="252"/>
      <c r="W20" s="248"/>
      <c r="X20" s="248"/>
      <c r="Y20" s="248"/>
      <c r="Z20" s="248"/>
      <c r="AA20" s="248"/>
      <c r="AB20" s="251"/>
      <c r="AC20" s="252"/>
      <c r="AD20" s="248"/>
      <c r="AE20" s="248"/>
      <c r="AF20" s="248"/>
      <c r="AG20" s="248"/>
      <c r="AH20" s="248"/>
      <c r="AI20" s="251"/>
      <c r="AJ20" s="252"/>
      <c r="AK20" s="248"/>
      <c r="AL20" s="248"/>
      <c r="AM20" s="248"/>
      <c r="AN20" s="248"/>
      <c r="AO20" s="248"/>
      <c r="AP20" s="251"/>
      <c r="AQ20" s="252"/>
      <c r="AR20" s="248"/>
      <c r="AS20" s="248"/>
      <c r="AT20" s="248"/>
      <c r="AU20" s="248"/>
      <c r="AV20" s="248"/>
      <c r="AW20" s="251"/>
      <c r="AX20" s="247" t="s">
        <v>701</v>
      </c>
      <c r="AY20" s="248"/>
      <c r="AZ20" s="248"/>
      <c r="BA20" s="248"/>
      <c r="BB20" s="248"/>
      <c r="BC20" s="248"/>
      <c r="BD20" s="249"/>
      <c r="BE20" s="5"/>
    </row>
    <row r="21" spans="1:57" ht="15.75" thickBot="1" x14ac:dyDescent="0.3">
      <c r="A21" s="4"/>
      <c r="B21" s="244" t="s">
        <v>706</v>
      </c>
      <c r="C21" s="242"/>
      <c r="D21" s="242"/>
      <c r="E21" s="242"/>
      <c r="F21" s="242"/>
      <c r="G21" s="242"/>
      <c r="H21" s="242"/>
      <c r="I21" s="242"/>
      <c r="J21" s="242"/>
      <c r="K21" s="242"/>
      <c r="L21" s="242"/>
      <c r="M21" s="242"/>
      <c r="N21" s="245"/>
      <c r="O21" s="246"/>
      <c r="P21" s="242"/>
      <c r="Q21" s="242"/>
      <c r="R21" s="242"/>
      <c r="S21" s="242"/>
      <c r="T21" s="242"/>
      <c r="U21" s="245"/>
      <c r="V21" s="246"/>
      <c r="W21" s="242"/>
      <c r="X21" s="242"/>
      <c r="Y21" s="242"/>
      <c r="Z21" s="242"/>
      <c r="AA21" s="242"/>
      <c r="AB21" s="245"/>
      <c r="AC21" s="246"/>
      <c r="AD21" s="242"/>
      <c r="AE21" s="242"/>
      <c r="AF21" s="242"/>
      <c r="AG21" s="242"/>
      <c r="AH21" s="242"/>
      <c r="AI21" s="245"/>
      <c r="AJ21" s="246"/>
      <c r="AK21" s="242"/>
      <c r="AL21" s="242"/>
      <c r="AM21" s="242"/>
      <c r="AN21" s="242"/>
      <c r="AO21" s="242"/>
      <c r="AP21" s="245"/>
      <c r="AQ21" s="246"/>
      <c r="AR21" s="242"/>
      <c r="AS21" s="242"/>
      <c r="AT21" s="242"/>
      <c r="AU21" s="242"/>
      <c r="AV21" s="242"/>
      <c r="AW21" s="245"/>
      <c r="AX21" s="241" t="s">
        <v>701</v>
      </c>
      <c r="AY21" s="242"/>
      <c r="AZ21" s="242"/>
      <c r="BA21" s="242"/>
      <c r="BB21" s="242"/>
      <c r="BC21" s="242"/>
      <c r="BD21" s="243"/>
      <c r="BE21" s="5"/>
    </row>
    <row r="22" spans="1:57" ht="15.75" x14ac:dyDescent="0.25">
      <c r="A22" s="4"/>
      <c r="B22" s="8"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2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M40" sqref="M40"/>
    </sheetView>
  </sheetViews>
  <sheetFormatPr defaultColWidth="0" defaultRowHeight="15" zeroHeight="1" x14ac:dyDescent="0.25"/>
  <cols>
    <col min="1" max="1" width="3" customWidth="1"/>
    <col min="2" max="2" width="4.5703125" customWidth="1"/>
    <col min="3" max="3" width="11.5703125" customWidth="1"/>
    <col min="4" max="4" width="11.7109375" hidden="1" customWidth="1"/>
    <col min="5" max="5" width="3.7109375" hidden="1" customWidth="1"/>
    <col min="6" max="6" width="29.7109375" customWidth="1"/>
    <col min="7" max="12" width="13.7109375" customWidth="1"/>
    <col min="13" max="13" width="8.140625" bestFit="1" customWidth="1"/>
    <col min="14" max="14" width="1.7109375" customWidth="1"/>
    <col min="15" max="16384" width="11.42578125" hidden="1"/>
  </cols>
  <sheetData>
    <row r="1" spans="1:13" ht="5.0999999999999996" customHeight="1" thickBot="1" x14ac:dyDescent="0.3"/>
    <row r="2" spans="1:13" ht="15.75" hidden="1" thickBot="1" x14ac:dyDescent="0.3">
      <c r="B2" s="283" t="s">
        <v>708</v>
      </c>
      <c r="C2" s="283"/>
      <c r="D2" s="283"/>
      <c r="E2" s="283"/>
      <c r="F2" s="283"/>
      <c r="G2" s="283"/>
      <c r="H2" s="283"/>
      <c r="I2" s="283"/>
      <c r="J2" s="283"/>
      <c r="K2" s="283"/>
      <c r="L2" s="283"/>
      <c r="M2" s="283"/>
    </row>
    <row r="3" spans="1:13" ht="15.75" thickBot="1" x14ac:dyDescent="0.3">
      <c r="B3" s="226" t="str">
        <f>IF(lang=1,labels!E2,IF(lang=2,labels!F2,""))</f>
        <v>VISUALISATION SYNTHÉTIQUE DU BUDGET DU PROGRAMME</v>
      </c>
      <c r="C3" s="227"/>
      <c r="D3" s="227"/>
      <c r="E3" s="227"/>
      <c r="F3" s="227"/>
      <c r="G3" s="227"/>
      <c r="H3" s="227"/>
      <c r="I3" s="227"/>
      <c r="J3" s="227"/>
      <c r="K3" s="227"/>
      <c r="L3" s="227"/>
      <c r="M3" s="228"/>
    </row>
    <row r="4" spans="1:13" ht="39.950000000000003" customHeight="1" thickBot="1" x14ac:dyDescent="0.3">
      <c r="B4" s="284"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285"/>
      <c r="D4" s="285"/>
      <c r="E4" s="285"/>
      <c r="F4" s="285"/>
      <c r="G4" s="285"/>
      <c r="H4" s="285"/>
      <c r="I4" s="285"/>
      <c r="J4" s="285"/>
      <c r="K4" s="285"/>
      <c r="L4" s="285"/>
      <c r="M4" s="286"/>
    </row>
    <row r="5" spans="1:13" ht="5.0999999999999996" customHeight="1" thickBot="1" x14ac:dyDescent="0.3"/>
    <row r="6" spans="1:13" x14ac:dyDescent="0.25">
      <c r="B6" s="287" t="str">
        <f>IF(lang=1,labels!E4,IF(lang=2,labels!F4,""))</f>
        <v>C.O. - COÛTS OPÉRATIONNELS</v>
      </c>
      <c r="C6" s="40" t="s">
        <v>37</v>
      </c>
      <c r="D6" s="40" t="s">
        <v>38</v>
      </c>
      <c r="E6" s="40" t="s">
        <v>40</v>
      </c>
      <c r="F6" s="40" t="str">
        <f>IF(lang=1,labels!E5,IF(lang=2,labels!F5,""))</f>
        <v>RUBRIQUE GÉNÉRALE</v>
      </c>
      <c r="G6" s="40">
        <v>2022</v>
      </c>
      <c r="H6" s="40">
        <v>2023</v>
      </c>
      <c r="I6" s="40">
        <v>2024</v>
      </c>
      <c r="J6" s="40">
        <v>2025</v>
      </c>
      <c r="K6" s="40">
        <v>2026</v>
      </c>
      <c r="L6" s="40" t="str">
        <f>IF(lang=1,labels!E16,IF(lang=2,labels!F16,"set lang"))</f>
        <v>GRAND TOTAL</v>
      </c>
      <c r="M6" s="45" t="s">
        <v>44</v>
      </c>
    </row>
    <row r="7" spans="1:13" x14ac:dyDescent="0.25">
      <c r="A7" t="s">
        <v>709</v>
      </c>
      <c r="B7" s="288"/>
      <c r="C7" s="289" t="str">
        <f>IF(lang=1,labels!E9,IF(lang=2,labels!F9,""))</f>
        <v>CSC</v>
      </c>
      <c r="D7" s="272" t="s">
        <v>710</v>
      </c>
      <c r="E7" s="275" t="s">
        <v>49</v>
      </c>
      <c r="F7" s="46" t="str">
        <f>IF(lang=1,labels!E6,IF(lang=2,labels!F6,""))</f>
        <v>1. Investissements</v>
      </c>
      <c r="G7" s="104">
        <f ca="1">SUMIFS(Table1[amount],Table1[year],G$6,Table1[item],$A7,Table1[CSC],"Yes")</f>
        <v>397512.41211438313</v>
      </c>
      <c r="H7" s="104">
        <f ca="1">SUMIFS(Table1[amount],Table1[year],H$6,Table1[item],$A7,Table1[CSC],"Yes")</f>
        <v>101047.60907406098</v>
      </c>
      <c r="I7" s="104">
        <f ca="1">SUMIFS(Table1[amount],Table1[year],I$6,Table1[item],$A7,Table1[CSC],"Yes")</f>
        <v>52628.638436872665</v>
      </c>
      <c r="J7" s="104">
        <f ca="1">SUMIFS(Table1[amount],Table1[year],J$6,Table1[item],$A7,Table1[CSC],"Yes")</f>
        <v>54358.834691747994</v>
      </c>
      <c r="K7" s="104">
        <f ca="1">SUMIFS(Table1[amount],Table1[year],K$6,Table1[item],$A7,Table1[CSC],"Yes")</f>
        <v>40186.415196951995</v>
      </c>
      <c r="L7" s="104">
        <f ca="1">SUM(G7+H7+I7+J7+K7)</f>
        <v>645733.9095140167</v>
      </c>
      <c r="M7" s="290"/>
    </row>
    <row r="8" spans="1:13" x14ac:dyDescent="0.25">
      <c r="A8" t="s">
        <v>711</v>
      </c>
      <c r="B8" s="288"/>
      <c r="C8" s="289"/>
      <c r="D8" s="272"/>
      <c r="E8" s="276"/>
      <c r="F8" s="46" t="str">
        <f>IF(lang=1,labels!E7,IF(lang=2,labels!F7,""""))</f>
        <v>2. Fonctionnement</v>
      </c>
      <c r="G8" s="104">
        <f ca="1">SUMIFS(Table1[amount],Table1[year],G$6,Table1[item],$A8,Table1[CSC],"Yes")</f>
        <v>3112415.2345454548</v>
      </c>
      <c r="H8" s="104">
        <f ca="1">SUMIFS(Table1[amount],Table1[year],H$6,Table1[item],$A8,Table1[CSC],"Yes")</f>
        <v>3921247.8145454545</v>
      </c>
      <c r="I8" s="104">
        <f ca="1">SUMIFS(Table1[amount],Table1[year],I$6,Table1[item],$A8,Table1[CSC],"Yes")</f>
        <v>3917865.3827272728</v>
      </c>
      <c r="J8" s="104">
        <f ca="1">SUMIFS(Table1[amount],Table1[year],J$6,Table1[item],$A8,Table1[CSC],"Yes")</f>
        <v>3470439.4712205073</v>
      </c>
      <c r="K8" s="104">
        <f ca="1">SUMIFS(Table1[amount],Table1[year],K$6,Table1[item],$A8,Table1[CSC],"Yes")</f>
        <v>3308479.1798958313</v>
      </c>
      <c r="L8" s="104">
        <f t="shared" ref="L8:L40" ca="1" si="0">SUM(G8+H8+I8+J8+K8)</f>
        <v>17730447.082934521</v>
      </c>
      <c r="M8" s="290"/>
    </row>
    <row r="9" spans="1:13" ht="15" customHeight="1" x14ac:dyDescent="0.25">
      <c r="A9" t="s">
        <v>712</v>
      </c>
      <c r="B9" s="288"/>
      <c r="C9" s="289"/>
      <c r="D9" s="272"/>
      <c r="E9" s="276"/>
      <c r="F9" s="46" t="str">
        <f>IF(lang=1,labels!E8,IF(lang=2,labels!F8,""))</f>
        <v>3. Personnel</v>
      </c>
      <c r="G9" s="104">
        <f ca="1">SUMIFS(Table1[amount],Table1[year],G$6,Table1[item],$A9,Table1[CSC],"Yes")</f>
        <v>2527229.3427486927</v>
      </c>
      <c r="H9" s="104">
        <f ca="1">SUMIFS(Table1[amount],Table1[year],H$6,Table1[item],$A9,Table1[CSC],"Yes")</f>
        <v>2525459.4412325569</v>
      </c>
      <c r="I9" s="104">
        <f ca="1">SUMIFS(Table1[amount],Table1[year],I$6,Table1[item],$A9,Table1[CSC],"Yes")</f>
        <v>2617235.5966257411</v>
      </c>
      <c r="J9" s="104">
        <f ca="1">SUMIFS(Table1[amount],Table1[year],J$6,Table1[item],$A9,Table1[CSC],"Yes")</f>
        <v>2769662.8656530697</v>
      </c>
      <c r="K9" s="104">
        <f ca="1">SUMIFS(Table1[amount],Table1[year],K$6,Table1[item],$A9,Table1[CSC],"Yes")</f>
        <v>2821302.1449870877</v>
      </c>
      <c r="L9" s="104">
        <f t="shared" ca="1" si="0"/>
        <v>13260889.391247148</v>
      </c>
      <c r="M9" s="290"/>
    </row>
    <row r="10" spans="1:13" hidden="1" x14ac:dyDescent="0.25">
      <c r="B10" s="288"/>
      <c r="C10" s="289"/>
      <c r="D10" s="272"/>
      <c r="E10" s="277"/>
      <c r="F10" s="47" t="s">
        <v>58</v>
      </c>
      <c r="G10" s="105">
        <f ca="1">SUM(G7+G8+G9)</f>
        <v>6037156.9894085303</v>
      </c>
      <c r="H10" s="105">
        <f t="shared" ref="H10:K10" ca="1" si="1">SUM(H7+H8+H9)</f>
        <v>6547754.8648520727</v>
      </c>
      <c r="I10" s="105">
        <f t="shared" ca="1" si="1"/>
        <v>6587729.6177898869</v>
      </c>
      <c r="J10" s="105">
        <f t="shared" ca="1" si="1"/>
        <v>6294461.171565325</v>
      </c>
      <c r="K10" s="105">
        <f t="shared" ca="1" si="1"/>
        <v>6169967.7400798704</v>
      </c>
      <c r="L10" s="105">
        <f t="shared" ca="1" si="0"/>
        <v>31637070.383695684</v>
      </c>
      <c r="M10" s="290"/>
    </row>
    <row r="11" spans="1:13" ht="15" hidden="1" customHeight="1" x14ac:dyDescent="0.25">
      <c r="B11" s="288"/>
      <c r="C11" s="289" t="s">
        <v>45</v>
      </c>
      <c r="D11" s="272" t="s">
        <v>713</v>
      </c>
      <c r="E11" s="275" t="s">
        <v>714</v>
      </c>
      <c r="F11" s="46" t="s">
        <v>50</v>
      </c>
      <c r="G11" s="104"/>
      <c r="H11" s="104"/>
      <c r="I11" s="104"/>
      <c r="J11" s="104"/>
      <c r="K11" s="104"/>
      <c r="L11" s="104">
        <f t="shared" si="0"/>
        <v>0</v>
      </c>
      <c r="M11" s="290"/>
    </row>
    <row r="12" spans="1:13" hidden="1" x14ac:dyDescent="0.25">
      <c r="B12" s="288"/>
      <c r="C12" s="289"/>
      <c r="D12" s="272"/>
      <c r="E12" s="276"/>
      <c r="F12" s="46" t="s">
        <v>52</v>
      </c>
      <c r="G12" s="104"/>
      <c r="H12" s="104"/>
      <c r="I12" s="104"/>
      <c r="J12" s="104"/>
      <c r="K12" s="104"/>
      <c r="L12" s="104">
        <f t="shared" si="0"/>
        <v>0</v>
      </c>
      <c r="M12" s="290"/>
    </row>
    <row r="13" spans="1:13" hidden="1" x14ac:dyDescent="0.25">
      <c r="B13" s="288"/>
      <c r="C13" s="289"/>
      <c r="D13" s="272"/>
      <c r="E13" s="276"/>
      <c r="F13" s="46" t="s">
        <v>54</v>
      </c>
      <c r="G13" s="104"/>
      <c r="H13" s="104"/>
      <c r="I13" s="104"/>
      <c r="J13" s="104"/>
      <c r="K13" s="104"/>
      <c r="L13" s="104">
        <f t="shared" si="0"/>
        <v>0</v>
      </c>
      <c r="M13" s="290"/>
    </row>
    <row r="14" spans="1:13" hidden="1" x14ac:dyDescent="0.25">
      <c r="B14" s="288"/>
      <c r="C14" s="289"/>
      <c r="D14" s="272"/>
      <c r="E14" s="277"/>
      <c r="F14" s="48" t="s">
        <v>56</v>
      </c>
      <c r="G14" s="106">
        <f t="shared" ref="G14:K14" si="2">SUM(G11+G12+G13)</f>
        <v>0</v>
      </c>
      <c r="H14" s="106">
        <f t="shared" si="2"/>
        <v>0</v>
      </c>
      <c r="I14" s="106">
        <f t="shared" si="2"/>
        <v>0</v>
      </c>
      <c r="J14" s="106">
        <f t="shared" si="2"/>
        <v>0</v>
      </c>
      <c r="K14" s="106">
        <f t="shared" si="2"/>
        <v>0</v>
      </c>
      <c r="L14" s="106">
        <f t="shared" si="0"/>
        <v>0</v>
      </c>
      <c r="M14" s="290"/>
    </row>
    <row r="15" spans="1:13" ht="15" hidden="1" customHeight="1" x14ac:dyDescent="0.25">
      <c r="B15" s="288"/>
      <c r="C15" s="289"/>
      <c r="D15" s="272"/>
      <c r="E15" s="275" t="s">
        <v>715</v>
      </c>
      <c r="F15" s="46" t="s">
        <v>50</v>
      </c>
      <c r="G15" s="104"/>
      <c r="H15" s="104"/>
      <c r="I15" s="104"/>
      <c r="J15" s="104"/>
      <c r="K15" s="104"/>
      <c r="L15" s="104">
        <f t="shared" si="0"/>
        <v>0</v>
      </c>
      <c r="M15" s="290"/>
    </row>
    <row r="16" spans="1:13" hidden="1" x14ac:dyDescent="0.25">
      <c r="B16" s="288"/>
      <c r="C16" s="289"/>
      <c r="D16" s="272"/>
      <c r="E16" s="276"/>
      <c r="F16" s="46" t="s">
        <v>52</v>
      </c>
      <c r="G16" s="104"/>
      <c r="H16" s="104"/>
      <c r="I16" s="104"/>
      <c r="J16" s="104"/>
      <c r="K16" s="104"/>
      <c r="L16" s="104">
        <f t="shared" si="0"/>
        <v>0</v>
      </c>
      <c r="M16" s="290"/>
    </row>
    <row r="17" spans="1:13" hidden="1" x14ac:dyDescent="0.25">
      <c r="B17" s="288"/>
      <c r="C17" s="289"/>
      <c r="D17" s="272"/>
      <c r="E17" s="276"/>
      <c r="F17" s="46" t="s">
        <v>54</v>
      </c>
      <c r="G17" s="104"/>
      <c r="H17" s="104"/>
      <c r="I17" s="104"/>
      <c r="J17" s="104"/>
      <c r="K17" s="104"/>
      <c r="L17" s="104">
        <f t="shared" si="0"/>
        <v>0</v>
      </c>
      <c r="M17" s="290"/>
    </row>
    <row r="18" spans="1:13" hidden="1" x14ac:dyDescent="0.25">
      <c r="B18" s="288"/>
      <c r="C18" s="289"/>
      <c r="D18" s="272"/>
      <c r="E18" s="277"/>
      <c r="F18" s="48" t="s">
        <v>56</v>
      </c>
      <c r="G18" s="106">
        <f t="shared" ref="G18:K18" si="3">SUM(G15+G16+G17)</f>
        <v>0</v>
      </c>
      <c r="H18" s="106">
        <f t="shared" si="3"/>
        <v>0</v>
      </c>
      <c r="I18" s="106">
        <f t="shared" si="3"/>
        <v>0</v>
      </c>
      <c r="J18" s="106">
        <f t="shared" si="3"/>
        <v>0</v>
      </c>
      <c r="K18" s="106">
        <f t="shared" si="3"/>
        <v>0</v>
      </c>
      <c r="L18" s="106">
        <f t="shared" si="0"/>
        <v>0</v>
      </c>
      <c r="M18" s="290"/>
    </row>
    <row r="19" spans="1:13" hidden="1" x14ac:dyDescent="0.25">
      <c r="B19" s="288"/>
      <c r="C19" s="289"/>
      <c r="D19" s="272"/>
      <c r="E19" s="268" t="s">
        <v>58</v>
      </c>
      <c r="F19" s="268"/>
      <c r="G19" s="105">
        <f>SUM(G14+G18)</f>
        <v>0</v>
      </c>
      <c r="H19" s="105">
        <f>SUM(H14+H18)</f>
        <v>0</v>
      </c>
      <c r="I19" s="105">
        <f>SUM(I14+I18)</f>
        <v>0</v>
      </c>
      <c r="J19" s="105">
        <f>SUM(J14+J18)</f>
        <v>0</v>
      </c>
      <c r="K19" s="105">
        <f>SUM(K14+K18)</f>
        <v>0</v>
      </c>
      <c r="L19" s="105">
        <f t="shared" si="0"/>
        <v>0</v>
      </c>
      <c r="M19" s="290"/>
    </row>
    <row r="20" spans="1:13" x14ac:dyDescent="0.25">
      <c r="B20" s="288"/>
      <c r="C20" s="269" t="str">
        <f>IF(lang=1,labels!E14,IF(lang=2,labels!F14,""))</f>
        <v>TOTAL VOLET CSC</v>
      </c>
      <c r="D20" s="269"/>
      <c r="E20" s="269"/>
      <c r="F20" s="269"/>
      <c r="G20" s="107">
        <f ca="1">SUM(G7:G9)</f>
        <v>6037156.9894085303</v>
      </c>
      <c r="H20" s="107">
        <f t="shared" ref="H20:L20" ca="1" si="4">SUM(H7:H9)</f>
        <v>6547754.8648520727</v>
      </c>
      <c r="I20" s="107">
        <f t="shared" ca="1" si="4"/>
        <v>6587729.6177898869</v>
      </c>
      <c r="J20" s="107">
        <f t="shared" ca="1" si="4"/>
        <v>6294461.171565325</v>
      </c>
      <c r="K20" s="107">
        <f t="shared" ca="1" si="4"/>
        <v>6169967.7400798704</v>
      </c>
      <c r="L20" s="107">
        <f t="shared" ca="1" si="4"/>
        <v>31637070.383695684</v>
      </c>
      <c r="M20" s="108">
        <f ca="1">IF(L$35&gt;0,L20/L$35,"")</f>
        <v>1</v>
      </c>
    </row>
    <row r="21" spans="1:13" ht="15" customHeight="1" x14ac:dyDescent="0.25">
      <c r="A21" t="s">
        <v>709</v>
      </c>
      <c r="B21" s="288"/>
      <c r="C21" s="270" t="str">
        <f>IF(lang=1,labels!E10,IF(lang=2,labels!F10,"set lang"))</f>
        <v xml:space="preserve">  HORS-
CSC</v>
      </c>
      <c r="D21" s="272" t="s">
        <v>716</v>
      </c>
      <c r="E21" s="275" t="s">
        <v>717</v>
      </c>
      <c r="F21" s="46" t="str">
        <f>IF(lang=1,labels!E11,IF(lang=2,labels!F11,"set lang"))</f>
        <v>1. Investissements</v>
      </c>
      <c r="G21" s="104">
        <f ca="1">SUMIFS(Table1[amount],Table1[year],G$6,Table1[item],$A21,Table1[CSC],"No")</f>
        <v>0</v>
      </c>
      <c r="H21" s="104">
        <f ca="1">SUMIFS(Table1[amount],Table1[year],H$6,Table1[item],$A21,Table1[CSC],"No")</f>
        <v>0</v>
      </c>
      <c r="I21" s="104">
        <f ca="1">SUMIFS(Table1[amount],Table1[year],I$6,Table1[item],$A21,Table1[CSC],"No")</f>
        <v>0</v>
      </c>
      <c r="J21" s="104">
        <f ca="1">SUMIFS(Table1[amount],Table1[year],J$6,Table1[item],$A21,Table1[CSC],"No")</f>
        <v>0</v>
      </c>
      <c r="K21" s="104">
        <f ca="1">SUMIFS(Table1[amount],Table1[year],K$6,Table1[item],$A21,Table1[CSC],"No")</f>
        <v>0</v>
      </c>
      <c r="L21" s="104">
        <f t="shared" ca="1" si="0"/>
        <v>0</v>
      </c>
      <c r="M21" s="290"/>
    </row>
    <row r="22" spans="1:13" x14ac:dyDescent="0.25">
      <c r="A22" t="s">
        <v>711</v>
      </c>
      <c r="B22" s="288"/>
      <c r="C22" s="271"/>
      <c r="D22" s="272"/>
      <c r="E22" s="276"/>
      <c r="F22" s="46" t="str">
        <f>IF(lang=1,labels!E12,IF(lang=2,labels!F12,"set lang"))</f>
        <v>2. Fonctionnement</v>
      </c>
      <c r="G22" s="104">
        <f ca="1">SUMIFS(Table1[amount],Table1[year],G$6,Table1[item],$A22,Table1[CSC],"No")</f>
        <v>0</v>
      </c>
      <c r="H22" s="104">
        <f ca="1">SUMIFS(Table1[amount],Table1[year],H$6,Table1[item],$A22,Table1[CSC],"No")</f>
        <v>0</v>
      </c>
      <c r="I22" s="104">
        <f ca="1">SUMIFS(Table1[amount],Table1[year],I$6,Table1[item],$A22,Table1[CSC],"No")</f>
        <v>0</v>
      </c>
      <c r="J22" s="104">
        <f ca="1">SUMIFS(Table1[amount],Table1[year],J$6,Table1[item],$A22,Table1[CSC],"No")</f>
        <v>0</v>
      </c>
      <c r="K22" s="104">
        <f ca="1">SUMIFS(Table1[amount],Table1[year],K$6,Table1[item],$A22,Table1[CSC],"No")</f>
        <v>0</v>
      </c>
      <c r="L22" s="104">
        <f t="shared" ca="1" si="0"/>
        <v>0</v>
      </c>
      <c r="M22" s="290"/>
    </row>
    <row r="23" spans="1:13" x14ac:dyDescent="0.25">
      <c r="A23" t="s">
        <v>712</v>
      </c>
      <c r="B23" s="288"/>
      <c r="C23" s="271"/>
      <c r="D23" s="272"/>
      <c r="E23" s="276"/>
      <c r="F23" s="46" t="str">
        <f>IF(lang=1,labels!E13,IF(lang=2,labels!F13,"set lang"))</f>
        <v>3. Personnel</v>
      </c>
      <c r="G23" s="104">
        <f ca="1">SUMIFS(Table1[amount],Table1[year],G$6,Table1[item],$A23,Table1[CSC],"No")</f>
        <v>0</v>
      </c>
      <c r="H23" s="104">
        <f ca="1">SUMIFS(Table1[amount],Table1[year],H$6,Table1[item],$A23,Table1[CSC],"No")</f>
        <v>0</v>
      </c>
      <c r="I23" s="104">
        <f ca="1">SUMIFS(Table1[amount],Table1[year],I$6,Table1[item],$A23,Table1[CSC],"No")</f>
        <v>0</v>
      </c>
      <c r="J23" s="104">
        <f ca="1">SUMIFS(Table1[amount],Table1[year],J$6,Table1[item],$A23,Table1[CSC],"No")</f>
        <v>0</v>
      </c>
      <c r="K23" s="104">
        <f ca="1">SUMIFS(Table1[amount],Table1[year],K$6,Table1[item],$A23,Table1[CSC],"No")</f>
        <v>0</v>
      </c>
      <c r="L23" s="104">
        <f t="shared" ca="1" si="0"/>
        <v>0</v>
      </c>
      <c r="M23" s="290"/>
    </row>
    <row r="24" spans="1:13" ht="15" hidden="1" customHeight="1" x14ac:dyDescent="0.25">
      <c r="B24" s="288"/>
      <c r="C24" s="271"/>
      <c r="D24" s="272"/>
      <c r="E24" s="277"/>
      <c r="F24" s="47" t="s">
        <v>718</v>
      </c>
      <c r="G24" s="105">
        <f t="shared" ref="G24:K24" ca="1" si="5">SUM(G21+G22+G23)</f>
        <v>0</v>
      </c>
      <c r="H24" s="105">
        <f t="shared" ca="1" si="5"/>
        <v>0</v>
      </c>
      <c r="I24" s="105">
        <f t="shared" ca="1" si="5"/>
        <v>0</v>
      </c>
      <c r="J24" s="105">
        <f t="shared" ca="1" si="5"/>
        <v>0</v>
      </c>
      <c r="K24" s="105">
        <f t="shared" ca="1" si="5"/>
        <v>0</v>
      </c>
      <c r="L24" s="105">
        <f t="shared" ca="1" si="0"/>
        <v>0</v>
      </c>
      <c r="M24" s="290"/>
    </row>
    <row r="25" spans="1:13" ht="15" hidden="1" customHeight="1" x14ac:dyDescent="0.25">
      <c r="B25" s="288"/>
      <c r="C25" s="273" t="s">
        <v>62</v>
      </c>
      <c r="D25" s="272" t="s">
        <v>719</v>
      </c>
      <c r="E25" s="275" t="s">
        <v>720</v>
      </c>
      <c r="F25" s="46" t="s">
        <v>50</v>
      </c>
      <c r="G25" s="104"/>
      <c r="H25" s="104"/>
      <c r="I25" s="104"/>
      <c r="J25" s="104"/>
      <c r="K25" s="104"/>
      <c r="L25" s="104">
        <f t="shared" si="0"/>
        <v>0</v>
      </c>
      <c r="M25" s="290"/>
    </row>
    <row r="26" spans="1:13" hidden="1" x14ac:dyDescent="0.25">
      <c r="B26" s="288"/>
      <c r="C26" s="271"/>
      <c r="D26" s="272"/>
      <c r="E26" s="276"/>
      <c r="F26" s="46" t="s">
        <v>52</v>
      </c>
      <c r="G26" s="104"/>
      <c r="H26" s="104"/>
      <c r="I26" s="104"/>
      <c r="J26" s="104"/>
      <c r="K26" s="104"/>
      <c r="L26" s="104">
        <f t="shared" si="0"/>
        <v>0</v>
      </c>
      <c r="M26" s="290"/>
    </row>
    <row r="27" spans="1:13" hidden="1" x14ac:dyDescent="0.25">
      <c r="B27" s="288"/>
      <c r="C27" s="271"/>
      <c r="D27" s="272"/>
      <c r="E27" s="276"/>
      <c r="F27" s="46" t="s">
        <v>54</v>
      </c>
      <c r="G27" s="104"/>
      <c r="H27" s="104"/>
      <c r="I27" s="104"/>
      <c r="J27" s="104"/>
      <c r="K27" s="104"/>
      <c r="L27" s="104">
        <f t="shared" si="0"/>
        <v>0</v>
      </c>
      <c r="M27" s="290"/>
    </row>
    <row r="28" spans="1:13" hidden="1" x14ac:dyDescent="0.25">
      <c r="B28" s="288"/>
      <c r="C28" s="271"/>
      <c r="D28" s="272"/>
      <c r="E28" s="277"/>
      <c r="F28" s="49" t="s">
        <v>56</v>
      </c>
      <c r="G28" s="106">
        <f t="shared" ref="G28:K28" si="6">SUM(G25+G26+G27)</f>
        <v>0</v>
      </c>
      <c r="H28" s="106">
        <f t="shared" si="6"/>
        <v>0</v>
      </c>
      <c r="I28" s="106">
        <f t="shared" si="6"/>
        <v>0</v>
      </c>
      <c r="J28" s="106">
        <f t="shared" si="6"/>
        <v>0</v>
      </c>
      <c r="K28" s="106">
        <f t="shared" si="6"/>
        <v>0</v>
      </c>
      <c r="L28" s="106">
        <f t="shared" si="0"/>
        <v>0</v>
      </c>
      <c r="M28" s="290"/>
    </row>
    <row r="29" spans="1:13" ht="15" hidden="1" customHeight="1" x14ac:dyDescent="0.25">
      <c r="B29" s="288"/>
      <c r="C29" s="271"/>
      <c r="D29" s="272"/>
      <c r="E29" s="275" t="s">
        <v>721</v>
      </c>
      <c r="F29" s="46" t="s">
        <v>50</v>
      </c>
      <c r="G29" s="104"/>
      <c r="H29" s="104"/>
      <c r="I29" s="104"/>
      <c r="J29" s="104"/>
      <c r="K29" s="104"/>
      <c r="L29" s="104">
        <f t="shared" si="0"/>
        <v>0</v>
      </c>
      <c r="M29" s="290"/>
    </row>
    <row r="30" spans="1:13" hidden="1" x14ac:dyDescent="0.25">
      <c r="B30" s="288"/>
      <c r="C30" s="271"/>
      <c r="D30" s="272"/>
      <c r="E30" s="276"/>
      <c r="F30" s="46" t="s">
        <v>52</v>
      </c>
      <c r="G30" s="104"/>
      <c r="H30" s="104"/>
      <c r="I30" s="104"/>
      <c r="J30" s="104"/>
      <c r="K30" s="104"/>
      <c r="L30" s="104">
        <f t="shared" si="0"/>
        <v>0</v>
      </c>
      <c r="M30" s="290"/>
    </row>
    <row r="31" spans="1:13" hidden="1" x14ac:dyDescent="0.25">
      <c r="B31" s="288"/>
      <c r="C31" s="271"/>
      <c r="D31" s="272"/>
      <c r="E31" s="276"/>
      <c r="F31" s="46" t="s">
        <v>54</v>
      </c>
      <c r="G31" s="104"/>
      <c r="H31" s="104"/>
      <c r="I31" s="104"/>
      <c r="J31" s="104"/>
      <c r="K31" s="104"/>
      <c r="L31" s="104">
        <f t="shared" si="0"/>
        <v>0</v>
      </c>
      <c r="M31" s="290"/>
    </row>
    <row r="32" spans="1:13" hidden="1" x14ac:dyDescent="0.25">
      <c r="B32" s="288"/>
      <c r="C32" s="271"/>
      <c r="D32" s="272"/>
      <c r="E32" s="277"/>
      <c r="F32" s="49" t="s">
        <v>56</v>
      </c>
      <c r="G32" s="106">
        <f t="shared" ref="G32:K32" si="7">SUM(G29+G30+G31)</f>
        <v>0</v>
      </c>
      <c r="H32" s="106">
        <f t="shared" si="7"/>
        <v>0</v>
      </c>
      <c r="I32" s="106">
        <f t="shared" si="7"/>
        <v>0</v>
      </c>
      <c r="J32" s="106">
        <f t="shared" si="7"/>
        <v>0</v>
      </c>
      <c r="K32" s="106">
        <f t="shared" si="7"/>
        <v>0</v>
      </c>
      <c r="L32" s="106">
        <f t="shared" si="0"/>
        <v>0</v>
      </c>
      <c r="M32" s="290"/>
    </row>
    <row r="33" spans="2:13" hidden="1" x14ac:dyDescent="0.25">
      <c r="B33" s="288"/>
      <c r="C33" s="274"/>
      <c r="D33" s="272"/>
      <c r="E33" s="268" t="s">
        <v>722</v>
      </c>
      <c r="F33" s="268"/>
      <c r="G33" s="105">
        <f>SUM(G28+G32)</f>
        <v>0</v>
      </c>
      <c r="H33" s="105">
        <f>SUM(H28+H32)</f>
        <v>0</v>
      </c>
      <c r="I33" s="105">
        <f>SUM(I28+I32)</f>
        <v>0</v>
      </c>
      <c r="J33" s="105">
        <f>SUM(J28+J32)</f>
        <v>0</v>
      </c>
      <c r="K33" s="105">
        <f>SUM(K28+K32)</f>
        <v>0</v>
      </c>
      <c r="L33" s="105">
        <f t="shared" si="0"/>
        <v>0</v>
      </c>
      <c r="M33" s="290"/>
    </row>
    <row r="34" spans="2:13" x14ac:dyDescent="0.25">
      <c r="B34" s="288"/>
      <c r="C34" s="269" t="str">
        <f>IF(lang=1,labels!E15,IF(lang=2,labels!F15,""))</f>
        <v>TOTAL VOLET HORS-CSC</v>
      </c>
      <c r="D34" s="269"/>
      <c r="E34" s="269"/>
      <c r="F34" s="269"/>
      <c r="G34" s="107">
        <f ca="1">SUM(G21:G23)</f>
        <v>0</v>
      </c>
      <c r="H34" s="107">
        <f t="shared" ref="H34:L34" ca="1" si="8">SUM(H21:H23)</f>
        <v>0</v>
      </c>
      <c r="I34" s="107">
        <f t="shared" ca="1" si="8"/>
        <v>0</v>
      </c>
      <c r="J34" s="107">
        <f t="shared" ca="1" si="8"/>
        <v>0</v>
      </c>
      <c r="K34" s="107">
        <f t="shared" ca="1" si="8"/>
        <v>0</v>
      </c>
      <c r="L34" s="107">
        <f t="shared" ca="1" si="8"/>
        <v>0</v>
      </c>
      <c r="M34" s="108">
        <f ca="1">IF(L$35&gt;0,L34/L$35,"")</f>
        <v>0</v>
      </c>
    </row>
    <row r="35" spans="2:13" x14ac:dyDescent="0.25">
      <c r="B35" s="288"/>
      <c r="C35" s="278" t="str">
        <f>IF(lang=1,labels!E17,IF(lang=2,labels!F17,"set lang"))</f>
        <v>C.O. - TOTAL COÛTS OPÉRATIONNELS</v>
      </c>
      <c r="D35" s="278"/>
      <c r="E35" s="278"/>
      <c r="F35" s="278"/>
      <c r="G35" s="133">
        <f ca="1">SUM(G20+G34)</f>
        <v>6037156.9894085303</v>
      </c>
      <c r="H35" s="133">
        <f ca="1">SUM(H20+H34)</f>
        <v>6547754.8648520727</v>
      </c>
      <c r="I35" s="133">
        <f ca="1">SUM(I20+I34)</f>
        <v>6587729.6177898869</v>
      </c>
      <c r="J35" s="133">
        <f ca="1">SUM(J20+J34)</f>
        <v>6294461.171565325</v>
      </c>
      <c r="K35" s="133">
        <f ca="1">SUM(K20+K34)</f>
        <v>6169967.7400798704</v>
      </c>
      <c r="L35" s="133">
        <f t="shared" ca="1" si="0"/>
        <v>31637070.383695684</v>
      </c>
      <c r="M35" s="134"/>
    </row>
    <row r="36" spans="2:13" x14ac:dyDescent="0.25">
      <c r="B36" s="279" t="str">
        <f>IF(lang=1,labels!E18,IF(lang=2,labels!F18,"set lang"))</f>
        <v>C.G. - 
COÛTS DE GESTION GLOBALISÉS</v>
      </c>
      <c r="C36" s="280"/>
      <c r="D36" s="280"/>
      <c r="E36" s="280"/>
      <c r="F36" s="46" t="str">
        <f>IF(lang=1,labels!E19,IF(lang=2,labels!F19,"set lang"))</f>
        <v>1. Personnel</v>
      </c>
      <c r="G36" s="104">
        <f>'T2 - CG-BK'!C5</f>
        <v>542276</v>
      </c>
      <c r="H36" s="104">
        <f>'T2 - CG-BK'!D5</f>
        <v>517807.35000000003</v>
      </c>
      <c r="I36" s="104">
        <f>'T2 - CG-BK'!E5</f>
        <v>562241.35</v>
      </c>
      <c r="J36" s="104">
        <f>'T2 - CG-BK'!F5</f>
        <v>610904</v>
      </c>
      <c r="K36" s="104">
        <f>'T2 - CG-BK'!G5</f>
        <v>639608</v>
      </c>
      <c r="L36" s="104">
        <f>'T2 - CG-BK'!H5</f>
        <v>2872836.7</v>
      </c>
      <c r="M36" s="109"/>
    </row>
    <row r="37" spans="2:13" x14ac:dyDescent="0.25">
      <c r="B37" s="279"/>
      <c r="C37" s="280"/>
      <c r="D37" s="280"/>
      <c r="E37" s="280"/>
      <c r="F37" s="46" t="str">
        <f>IF(lang=1,labels!E20,IF(lang=2,labels!F20,"set lang"))</f>
        <v>2. Evaluation &amp; Audit</v>
      </c>
      <c r="G37" s="104">
        <f>'T2 - CG-BK'!C10</f>
        <v>29500</v>
      </c>
      <c r="H37" s="104">
        <f>'T2 - CG-BK'!D10</f>
        <v>4500</v>
      </c>
      <c r="I37" s="104">
        <f>'T2 - CG-BK'!E10</f>
        <v>50500</v>
      </c>
      <c r="J37" s="104">
        <f>'T2 - CG-BK'!F10</f>
        <v>99000</v>
      </c>
      <c r="K37" s="104">
        <f>'T2 - CG-BK'!G10</f>
        <v>323000</v>
      </c>
      <c r="L37" s="104">
        <f>'T2 - CG-BK'!H10</f>
        <v>506500</v>
      </c>
      <c r="M37" s="110">
        <f ca="1">IF(L40&gt;0,L37/L40,"")</f>
        <v>1.4413196341104885E-2</v>
      </c>
    </row>
    <row r="38" spans="2:13" x14ac:dyDescent="0.25">
      <c r="B38" s="279"/>
      <c r="C38" s="280"/>
      <c r="D38" s="280"/>
      <c r="E38" s="280"/>
      <c r="F38" s="46" t="str">
        <f>IF(lang=1,labels!E21,IF(lang=2,labels!F21,"set lang"))</f>
        <v>3. Autres coûts</v>
      </c>
      <c r="G38" s="104">
        <f>'T2 - CG-BK'!C13</f>
        <v>31801</v>
      </c>
      <c r="H38" s="104">
        <f>'T2 - CG-BK'!D13</f>
        <v>18699</v>
      </c>
      <c r="I38" s="104">
        <f>'T2 - CG-BK'!E13</f>
        <v>18500</v>
      </c>
      <c r="J38" s="104">
        <f>'T2 - CG-BK'!F13</f>
        <v>27000</v>
      </c>
      <c r="K38" s="104">
        <f>'T2 - CG-BK'!G13</f>
        <v>29000</v>
      </c>
      <c r="L38" s="104">
        <f>'T2 - CG-BK'!H13</f>
        <v>125000</v>
      </c>
      <c r="M38" s="109"/>
    </row>
    <row r="39" spans="2:13" x14ac:dyDescent="0.25">
      <c r="B39" s="279"/>
      <c r="C39" s="280"/>
      <c r="D39" s="280"/>
      <c r="E39" s="280"/>
      <c r="F39" s="50" t="str">
        <f>IF(lang=1,labels!E22,IF(lang=2,labels!F22,"set lang"))</f>
        <v>TOTAL</v>
      </c>
      <c r="G39" s="133">
        <f>SUM(G36+G37+G38)</f>
        <v>603577</v>
      </c>
      <c r="H39" s="133">
        <f>SUM(H36+H37+H38)</f>
        <v>541006.35000000009</v>
      </c>
      <c r="I39" s="133">
        <f>SUM(I36+I37+I38)</f>
        <v>631241.35</v>
      </c>
      <c r="J39" s="133">
        <f>SUM(J36+J37+J38)</f>
        <v>736904</v>
      </c>
      <c r="K39" s="133">
        <f>SUM(K36+K37+K38)</f>
        <v>991608</v>
      </c>
      <c r="L39" s="133">
        <f t="shared" si="0"/>
        <v>3504336.7</v>
      </c>
      <c r="M39" s="134">
        <f ca="1">IF(L40&gt;0,(L36+L38)/L40,"")</f>
        <v>8.5307816299447087E-2</v>
      </c>
    </row>
    <row r="40" spans="2:13" ht="15.75" thickBot="1" x14ac:dyDescent="0.3">
      <c r="B40" s="281" t="str">
        <f>IF(lang=1,labels!E23,IF(lang=2,labels!F23,"set lang"))</f>
        <v>C.D. - TOTAL COÛTS DIRECTS (C.D. = C.O. + C.G.)</v>
      </c>
      <c r="C40" s="282"/>
      <c r="D40" s="282"/>
      <c r="E40" s="282"/>
      <c r="F40" s="282"/>
      <c r="G40" s="135">
        <f ca="1">SUM(G35+G39)</f>
        <v>6640733.9894085303</v>
      </c>
      <c r="H40" s="135">
        <f ca="1">SUM(H35+H39)</f>
        <v>7088761.2148520723</v>
      </c>
      <c r="I40" s="135">
        <f ca="1">SUM(I35+I39)</f>
        <v>7218970.9677898865</v>
      </c>
      <c r="J40" s="135">
        <f ca="1">SUM(J35+J39)</f>
        <v>7031365.171565325</v>
      </c>
      <c r="K40" s="135">
        <f ca="1">SUM(K35+K39)</f>
        <v>7161575.7400798704</v>
      </c>
      <c r="L40" s="135">
        <f t="shared" ca="1" si="0"/>
        <v>35141407.083695687</v>
      </c>
      <c r="M40" s="136"/>
    </row>
    <row r="41" spans="2:13" x14ac:dyDescent="0.25">
      <c r="D41" s="51" t="s">
        <v>82</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zoomScale="89" zoomScaleNormal="89" workbookViewId="0">
      <selection activeCell="E6" sqref="E6"/>
    </sheetView>
  </sheetViews>
  <sheetFormatPr defaultColWidth="0" defaultRowHeight="15" zeroHeight="1" x14ac:dyDescent="0.25"/>
  <cols>
    <col min="1" max="1" width="9.140625" customWidth="1"/>
    <col min="2" max="2" width="33.42578125" customWidth="1"/>
    <col min="3" max="8" width="16.42578125" customWidth="1"/>
    <col min="9" max="10" width="0" hidden="1" customWidth="1"/>
    <col min="11" max="16384" width="9.140625" hidden="1"/>
  </cols>
  <sheetData>
    <row r="1" spans="1:8" x14ac:dyDescent="0.25">
      <c r="A1" s="1"/>
      <c r="B1" s="2"/>
      <c r="C1" s="2"/>
      <c r="D1" s="2"/>
      <c r="E1" s="2"/>
      <c r="F1" s="2"/>
      <c r="G1" s="2"/>
      <c r="H1" s="2"/>
    </row>
    <row r="2" spans="1:8" ht="15.75" thickBot="1" x14ac:dyDescent="0.3">
      <c r="A2" s="4"/>
      <c r="B2" s="258" t="str">
        <f>IF(lang=1,labels!E24,IF(lang=2,labels!F24,"set lang"))</f>
        <v>Budget du programme: C.G. - COÛTS DE GESTION GLOBALISÉS POUR LE PROGRAMME</v>
      </c>
      <c r="C2" s="248"/>
      <c r="D2" s="248"/>
      <c r="E2" s="248"/>
      <c r="F2" s="248"/>
      <c r="G2" s="248"/>
      <c r="H2" s="248"/>
    </row>
    <row r="3" spans="1:8" x14ac:dyDescent="0.25">
      <c r="A3" s="4"/>
      <c r="B3" s="219" t="str">
        <f>IF(lang=1,labels!E25,IF(lang=2,labels!F25,"set lang"))</f>
        <v>RUBRIQUES</v>
      </c>
      <c r="C3" s="220">
        <v>2022</v>
      </c>
      <c r="D3" s="220">
        <v>2023</v>
      </c>
      <c r="E3" s="220">
        <v>2024</v>
      </c>
      <c r="F3" s="220">
        <v>2025</v>
      </c>
      <c r="G3" s="220">
        <v>2026</v>
      </c>
      <c r="H3" s="220" t="str">
        <f>IF(lang=1,labels!E26,IF(lang=2,labels!F26,"set lang"))</f>
        <v>TOTAL</v>
      </c>
    </row>
    <row r="4" spans="1:8" x14ac:dyDescent="0.25">
      <c r="A4" s="4"/>
      <c r="B4" s="222" t="str">
        <f>IF(lang=1,labels!E27,IF(lang=2,labels!F27,"set lang"))</f>
        <v>TOTAL COÛTS DE GESTION</v>
      </c>
      <c r="C4" s="211">
        <f>C5+C10+C13</f>
        <v>603577</v>
      </c>
      <c r="D4" s="211">
        <f t="shared" ref="D4:H4" si="0">D5+D10+D13</f>
        <v>541006.35000000009</v>
      </c>
      <c r="E4" s="211">
        <f t="shared" si="0"/>
        <v>631241.35</v>
      </c>
      <c r="F4" s="211">
        <f t="shared" si="0"/>
        <v>736904</v>
      </c>
      <c r="G4" s="211">
        <f t="shared" si="0"/>
        <v>991608</v>
      </c>
      <c r="H4" s="212">
        <f t="shared" si="0"/>
        <v>3504336.7</v>
      </c>
    </row>
    <row r="5" spans="1:8" x14ac:dyDescent="0.25">
      <c r="A5" s="4"/>
      <c r="B5" s="221" t="str">
        <f>IF(lang=1,labels!E28,IF(lang=2,labels!F28,"set lang"))</f>
        <v>1. TOTAL PERSONNEL</v>
      </c>
      <c r="C5" s="208">
        <f>SUM(C6:C9)</f>
        <v>542276</v>
      </c>
      <c r="D5" s="208">
        <f t="shared" ref="D5:H5" si="1">SUM(D6:D9)</f>
        <v>517807.35000000003</v>
      </c>
      <c r="E5" s="208">
        <f t="shared" si="1"/>
        <v>562241.35</v>
      </c>
      <c r="F5" s="208">
        <f t="shared" si="1"/>
        <v>610904</v>
      </c>
      <c r="G5" s="208">
        <f t="shared" si="1"/>
        <v>639608</v>
      </c>
      <c r="H5" s="208">
        <f t="shared" si="1"/>
        <v>2872836.7</v>
      </c>
    </row>
    <row r="6" spans="1:8" x14ac:dyDescent="0.25">
      <c r="A6" s="4"/>
      <c r="B6" s="223" t="str">
        <f>IF(lang=1,labels!E29,IF(lang=2,labels!F29,"set lang"))</f>
        <v>1.1 Salaires au siège</v>
      </c>
      <c r="C6" s="213">
        <v>542276</v>
      </c>
      <c r="D6" s="213">
        <f>500208+22797.26-5197.91</f>
        <v>517807.35000000003</v>
      </c>
      <c r="E6" s="213">
        <f>544642+22797.26-5197.91</f>
        <v>562241.35</v>
      </c>
      <c r="F6" s="213">
        <v>610904</v>
      </c>
      <c r="G6" s="213">
        <v>639608</v>
      </c>
      <c r="H6" s="206">
        <f>SUM(C6:G6)</f>
        <v>2872836.7</v>
      </c>
    </row>
    <row r="7" spans="1:8" x14ac:dyDescent="0.25">
      <c r="A7" s="4"/>
      <c r="B7" s="223" t="str">
        <f>IF(lang=1,labels!E30,IF(lang=2,labels!F30,"set lang"))</f>
        <v>1.2 Salaires des expatriés</v>
      </c>
      <c r="C7" s="213"/>
      <c r="D7" s="213"/>
      <c r="E7" s="213"/>
      <c r="F7" s="213"/>
      <c r="G7" s="213"/>
      <c r="H7" s="206">
        <f t="shared" ref="H7:H9" si="2">SUM(C7:G7)</f>
        <v>0</v>
      </c>
    </row>
    <row r="8" spans="1:8" ht="15" customHeight="1" x14ac:dyDescent="0.25">
      <c r="A8" s="4"/>
      <c r="B8" s="223" t="str">
        <f>IF(lang=1,labels!E31,IF(lang=2,labels!F31,"set lang"))</f>
        <v>1.3 Salaires du personnel local</v>
      </c>
      <c r="C8" s="213"/>
      <c r="D8" s="213"/>
      <c r="E8" s="213"/>
      <c r="F8" s="213"/>
      <c r="G8" s="213"/>
      <c r="H8" s="206">
        <f t="shared" si="2"/>
        <v>0</v>
      </c>
    </row>
    <row r="9" spans="1:8" ht="15" customHeight="1" x14ac:dyDescent="0.25">
      <c r="A9" s="4"/>
      <c r="B9" s="223" t="str">
        <f>IF(lang=1,labels!E32,IF(lang=2,labels!F32,"set lang"))</f>
        <v>1.4 Autres frais de personnel</v>
      </c>
      <c r="C9" s="213"/>
      <c r="D9" s="213"/>
      <c r="E9" s="213"/>
      <c r="F9" s="213"/>
      <c r="G9" s="213"/>
      <c r="H9" s="206">
        <f t="shared" si="2"/>
        <v>0</v>
      </c>
    </row>
    <row r="10" spans="1:8" x14ac:dyDescent="0.25">
      <c r="A10" s="4"/>
      <c r="B10" s="9" t="str">
        <f>IF(lang=1,labels!E33,IF(lang=2,labels!F33,"set lang"))</f>
        <v>2. TOTAL ÉVALUATION &amp; AUDIT</v>
      </c>
      <c r="C10" s="208">
        <f>SUM(C11:C12)</f>
        <v>29500</v>
      </c>
      <c r="D10" s="208">
        <f t="shared" ref="D10:H10" si="3">SUM(D11:D12)</f>
        <v>4500</v>
      </c>
      <c r="E10" s="208">
        <f t="shared" si="3"/>
        <v>50500</v>
      </c>
      <c r="F10" s="208">
        <f t="shared" si="3"/>
        <v>99000</v>
      </c>
      <c r="G10" s="208">
        <f t="shared" si="3"/>
        <v>323000</v>
      </c>
      <c r="H10" s="208">
        <f t="shared" si="3"/>
        <v>506500</v>
      </c>
    </row>
    <row r="11" spans="1:8" x14ac:dyDescent="0.25">
      <c r="A11" s="4"/>
      <c r="B11" s="223" t="str">
        <f>IF(lang=1,labels!E34,IF(lang=2,labels!F34,"set lang"))</f>
        <v>2.1 Coûts d'audit</v>
      </c>
      <c r="C11" s="213">
        <v>29500</v>
      </c>
      <c r="D11" s="213">
        <v>2000</v>
      </c>
      <c r="E11" s="213">
        <v>10500</v>
      </c>
      <c r="F11" s="213">
        <v>39500</v>
      </c>
      <c r="G11" s="213">
        <v>66000</v>
      </c>
      <c r="H11" s="206">
        <f t="shared" ref="H11:H12" si="4">SUM(C11:G11)</f>
        <v>147500</v>
      </c>
    </row>
    <row r="12" spans="1:8" x14ac:dyDescent="0.25">
      <c r="A12" s="4"/>
      <c r="B12" s="223" t="str">
        <f>IF(lang=1,labels!E35,IF(lang=2,labels!F35,"set lang"))</f>
        <v>2.2 Coûts d'évaluation</v>
      </c>
      <c r="C12" s="213">
        <v>0</v>
      </c>
      <c r="D12" s="213">
        <v>2500</v>
      </c>
      <c r="E12" s="213">
        <v>40000</v>
      </c>
      <c r="F12" s="213">
        <v>59500</v>
      </c>
      <c r="G12" s="213">
        <v>257000</v>
      </c>
      <c r="H12" s="206">
        <f t="shared" si="4"/>
        <v>359000</v>
      </c>
    </row>
    <row r="13" spans="1:8" ht="30" x14ac:dyDescent="0.25">
      <c r="A13" s="4"/>
      <c r="B13" s="9" t="str">
        <f>IF(lang=1,labels!E36,IF(lang=2,labels!F36,"set lang"))</f>
        <v>3. TOTAL AUTRES COÛTS DE GESTION</v>
      </c>
      <c r="C13" s="208">
        <f>C14+C18</f>
        <v>31801</v>
      </c>
      <c r="D13" s="208">
        <f t="shared" ref="D13:H13" si="5">D14+D18</f>
        <v>18699</v>
      </c>
      <c r="E13" s="208">
        <f t="shared" si="5"/>
        <v>18500</v>
      </c>
      <c r="F13" s="208">
        <f t="shared" si="5"/>
        <v>27000</v>
      </c>
      <c r="G13" s="208">
        <f t="shared" si="5"/>
        <v>29000</v>
      </c>
      <c r="H13" s="208">
        <f t="shared" si="5"/>
        <v>125000</v>
      </c>
    </row>
    <row r="14" spans="1:8" x14ac:dyDescent="0.25">
      <c r="A14" s="4"/>
      <c r="B14" s="10" t="str">
        <f>IF(lang=1,labels!E37,IF(lang=2,labels!F37,"set lang"))</f>
        <v>3.1 Investissements</v>
      </c>
      <c r="C14" s="214">
        <f>SUM(C15:C17)</f>
        <v>17801</v>
      </c>
      <c r="D14" s="214">
        <f t="shared" ref="D14:H14" si="6">SUM(D15:D17)</f>
        <v>2199</v>
      </c>
      <c r="E14" s="214">
        <f t="shared" si="6"/>
        <v>0</v>
      </c>
      <c r="F14" s="214">
        <f t="shared" si="6"/>
        <v>0</v>
      </c>
      <c r="G14" s="214">
        <f t="shared" si="6"/>
        <v>0</v>
      </c>
      <c r="H14" s="214">
        <f t="shared" si="6"/>
        <v>20000</v>
      </c>
    </row>
    <row r="15" spans="1:8" x14ac:dyDescent="0.25">
      <c r="A15" s="4"/>
      <c r="B15" s="223" t="str">
        <f>IF(lang=1,labels!E38,IF(lang=2,labels!F38,"set lang"))</f>
        <v>3.1.1 Achat de véhicules</v>
      </c>
      <c r="C15" s="213"/>
      <c r="D15" s="213"/>
      <c r="E15" s="213"/>
      <c r="F15" s="213"/>
      <c r="G15" s="213"/>
      <c r="H15" s="206">
        <f t="shared" ref="H15:H17" si="7">SUM(C15:G15)</f>
        <v>0</v>
      </c>
    </row>
    <row r="16" spans="1:8" x14ac:dyDescent="0.25">
      <c r="A16" s="4"/>
      <c r="B16" s="223" t="str">
        <f>IF(lang=1,labels!E39,IF(lang=2,labels!F39,"set lang"))</f>
        <v>3.1.2 Mobilier, ICT</v>
      </c>
      <c r="C16" s="213">
        <v>17801</v>
      </c>
      <c r="D16" s="213">
        <v>2199</v>
      </c>
      <c r="E16" s="213"/>
      <c r="F16" s="213"/>
      <c r="G16" s="213"/>
      <c r="H16" s="206">
        <f t="shared" si="7"/>
        <v>20000</v>
      </c>
    </row>
    <row r="17" spans="1:8" x14ac:dyDescent="0.25">
      <c r="A17" s="4"/>
      <c r="B17" s="223" t="str">
        <f>IF(lang=1,labels!E40,IF(lang=2,labels!F40,"set lang"))</f>
        <v>3.1.3 Autres frais d'investissement</v>
      </c>
      <c r="C17" s="213"/>
      <c r="D17" s="213"/>
      <c r="E17" s="213"/>
      <c r="F17" s="213"/>
      <c r="G17" s="213"/>
      <c r="H17" s="206">
        <f t="shared" si="7"/>
        <v>0</v>
      </c>
    </row>
    <row r="18" spans="1:8" x14ac:dyDescent="0.25">
      <c r="A18" s="4"/>
      <c r="B18" s="10" t="str">
        <f>IF(lang=1,labels!E41,IF(lang=2,labels!F41,"set lang"))</f>
        <v>3.2 Fonctionnement</v>
      </c>
      <c r="C18" s="214">
        <f>SUM(C19:C21)</f>
        <v>14000</v>
      </c>
      <c r="D18" s="214">
        <f t="shared" ref="D18:H18" si="8">SUM(D19:D21)</f>
        <v>16500</v>
      </c>
      <c r="E18" s="214">
        <f t="shared" si="8"/>
        <v>18500</v>
      </c>
      <c r="F18" s="214">
        <f t="shared" si="8"/>
        <v>27000</v>
      </c>
      <c r="G18" s="214">
        <f t="shared" si="8"/>
        <v>29000</v>
      </c>
      <c r="H18" s="214">
        <f t="shared" si="8"/>
        <v>105000</v>
      </c>
    </row>
    <row r="19" spans="1:8" x14ac:dyDescent="0.25">
      <c r="A19" s="4"/>
      <c r="B19" s="223" t="str">
        <f>IF(lang=1,labels!E42,IF(lang=2,labels!F42,"set lang"))</f>
        <v>3.2.1 Déplacements</v>
      </c>
      <c r="C19" s="213">
        <v>6000</v>
      </c>
      <c r="D19" s="213">
        <f>5000+3000</f>
        <v>8000</v>
      </c>
      <c r="E19" s="213">
        <f>5000+3000</f>
        <v>8000</v>
      </c>
      <c r="F19" s="213">
        <v>15000</v>
      </c>
      <c r="G19" s="213">
        <v>15000</v>
      </c>
      <c r="H19" s="206">
        <f t="shared" ref="H19:H21" si="9">SUM(C19:G19)</f>
        <v>52000</v>
      </c>
    </row>
    <row r="20" spans="1:8" x14ac:dyDescent="0.25">
      <c r="A20" s="4"/>
      <c r="B20" s="223" t="str">
        <f>IF(lang=1,labels!E43,IF(lang=2,labels!F43,"set lang"))</f>
        <v>3.2.2 Bureau local</v>
      </c>
      <c r="C20" s="213"/>
      <c r="D20" s="213"/>
      <c r="E20" s="213"/>
      <c r="F20" s="213"/>
      <c r="G20" s="213"/>
      <c r="H20" s="206">
        <f t="shared" si="9"/>
        <v>0</v>
      </c>
    </row>
    <row r="21" spans="1:8" ht="15.75" thickBot="1" x14ac:dyDescent="0.3">
      <c r="A21" s="4"/>
      <c r="B21" s="11" t="str">
        <f>IF(lang=1,labels!E44,IF(lang=2,labels!F44,"set lang"))</f>
        <v>3.2.3 Autres frais de fonctionnement</v>
      </c>
      <c r="C21" s="215">
        <v>8000</v>
      </c>
      <c r="D21" s="215">
        <f>2000+6500</f>
        <v>8500</v>
      </c>
      <c r="E21" s="215">
        <f>4000+6500</f>
        <v>10500</v>
      </c>
      <c r="F21" s="215">
        <v>12000</v>
      </c>
      <c r="G21" s="215">
        <v>14000</v>
      </c>
      <c r="H21" s="207">
        <f t="shared" si="9"/>
        <v>53000</v>
      </c>
    </row>
    <row r="22" spans="1:8" x14ac:dyDescent="0.25">
      <c r="A22" s="4"/>
      <c r="B22" s="8" t="str">
        <f>IF(lang=1,labels!E45,IF(lang=2,labels!F45,"set lang"))</f>
        <v>Salaire du personnel : montants bruts incluant les charges de sécurité sociale et les autres coûts liés</v>
      </c>
      <c r="C22" s="6"/>
      <c r="D22" s="6"/>
      <c r="E22" s="6"/>
      <c r="F22" s="6"/>
      <c r="G22" s="6"/>
      <c r="H22" s="6"/>
    </row>
    <row r="23" spans="1:8" x14ac:dyDescent="0.2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B11"/>
    </sheetView>
  </sheetViews>
  <sheetFormatPr defaultColWidth="0" defaultRowHeight="0" customHeight="1" zeroHeight="1" x14ac:dyDescent="0.25"/>
  <cols>
    <col min="1" max="1" width="1.7109375" hidden="1" customWidth="1"/>
    <col min="2" max="2" width="33.42578125" customWidth="1"/>
    <col min="3" max="3" width="25.28515625" hidden="1" customWidth="1"/>
    <col min="4" max="8" width="22.5703125" customWidth="1"/>
    <col min="9" max="9" width="18.5703125" customWidth="1"/>
    <col min="10" max="109" width="0" hidden="1" customWidth="1"/>
    <col min="110" max="16384" width="8.5703125" hidden="1"/>
  </cols>
  <sheetData>
    <row r="1" spans="1:10" ht="15.75" thickBot="1" x14ac:dyDescent="0.3">
      <c r="B1" s="150" t="str">
        <f>IF(Prg!D1&lt;&gt;"AIIA","No admin costs possible",IF(Prg!H1&lt;&gt;"admin","No admin costs chosen",""))</f>
        <v>No admin costs possible</v>
      </c>
      <c r="J1" t="s">
        <v>723</v>
      </c>
    </row>
    <row r="2" spans="1:10" ht="15.75" thickBot="1" x14ac:dyDescent="0.3">
      <c r="B2" s="291" t="str">
        <f>IF(Prg!D1="","",IF(Prg!D1&lt;&gt;"AIIA",IF(lang=2,J6,J5),IF(Prg!H1&lt;&gt;"admin",IF(lang=2,J8,J7),IF(lang=1,labels!E46,IF(lang=2,labels!F46,"set lang")))))</f>
        <v>Pas applicable pour les OSC.</v>
      </c>
      <c r="C2" s="292"/>
      <c r="D2" s="293"/>
      <c r="E2" s="293"/>
      <c r="F2" s="293"/>
      <c r="G2" s="293"/>
      <c r="H2" s="293"/>
      <c r="I2" s="294"/>
      <c r="J2" t="s">
        <v>724</v>
      </c>
    </row>
    <row r="3" spans="1:10" ht="25.5" customHeight="1" x14ac:dyDescent="0.25">
      <c r="B3" s="190" t="str">
        <f>IF(Prg!D1="","",IF(Prg!D1&lt;&gt;"AIIA",IF(lang=2,J6,J5),IF(Prg!H1&lt;&gt;"admin",IF(lang=2,J8,J7),IF(lang=1,J10,IF(lang=2,J9,"set lang")))))</f>
        <v>Pas applicable pour les OSC.</v>
      </c>
      <c r="C3" s="191"/>
      <c r="D3" s="192"/>
      <c r="E3" s="192"/>
      <c r="F3" s="192"/>
      <c r="G3" s="192"/>
      <c r="H3" s="192"/>
      <c r="I3" s="193"/>
    </row>
    <row r="4" spans="1:10" ht="25.5" customHeight="1" thickBot="1" x14ac:dyDescent="0.3">
      <c r="B4" s="194" t="str">
        <f>IF(Prg!D1="","",IF(Prg!D1&lt;&gt;"AIIA",IF(lang=2,J6,J5),IF(Prg!H1&lt;&gt;"admin",IF(lang=2,J8,J7),IF(lang=1,J12,IF(lang=2,J13,"set lang")))))</f>
        <v>Pas applicable pour les OSC.</v>
      </c>
      <c r="C4" s="195"/>
      <c r="D4" s="196"/>
      <c r="E4" s="196"/>
      <c r="F4" s="196"/>
      <c r="G4" s="196"/>
      <c r="H4" s="196"/>
      <c r="I4" s="197"/>
    </row>
    <row r="5" spans="1:10" ht="15" x14ac:dyDescent="0.25">
      <c r="B5" s="39" t="str">
        <f>IF(lang=1,labels!E47,IF(lang=2,labels!F47,"set lang"))</f>
        <v>RUBRIQUES</v>
      </c>
      <c r="C5" s="141"/>
      <c r="D5" s="40">
        <v>2022</v>
      </c>
      <c r="E5" s="40">
        <v>2023</v>
      </c>
      <c r="F5" s="40">
        <v>2024</v>
      </c>
      <c r="G5" s="40">
        <v>2025</v>
      </c>
      <c r="H5" s="40">
        <v>2026</v>
      </c>
      <c r="I5" s="41" t="str">
        <f>IF(lang=1,labels!E26,IF(lang=2,labels!F26,"set lang"))</f>
        <v>TOTAL</v>
      </c>
      <c r="J5" t="s">
        <v>725</v>
      </c>
    </row>
    <row r="6" spans="1:10" ht="15" x14ac:dyDescent="0.25">
      <c r="B6" s="42" t="str">
        <f>IF(lang=1,labels!E63,IF(lang=2,labels!F63,"set lang"))</f>
        <v>TOTAL COÛTS D'ADMINISTRATION</v>
      </c>
      <c r="C6" s="142"/>
      <c r="D6" s="157">
        <f t="shared" ref="D6:I6" ca="1" si="0">D7+VLOOKUP("W",$A$7:$I$121,COLUMN(),FALSE)+VLOOKUP("P",$A$7:$I$121,COLUMN(),FALSE)</f>
        <v>0</v>
      </c>
      <c r="E6" s="157">
        <f t="shared" ca="1" si="0"/>
        <v>0</v>
      </c>
      <c r="F6" s="157">
        <f t="shared" ca="1" si="0"/>
        <v>0</v>
      </c>
      <c r="G6" s="157">
        <f t="shared" ca="1" si="0"/>
        <v>0</v>
      </c>
      <c r="H6" s="157">
        <f t="shared" ca="1" si="0"/>
        <v>0</v>
      </c>
      <c r="I6" s="137">
        <f t="shared" ca="1" si="0"/>
        <v>0</v>
      </c>
      <c r="J6" t="s">
        <v>726</v>
      </c>
    </row>
    <row r="7" spans="1:10" ht="15" x14ac:dyDescent="0.25">
      <c r="A7" t="s">
        <v>727</v>
      </c>
      <c r="B7" s="43" t="str">
        <f>IF(lang=1,labels!E50,IF(lang=2,labels!F50,"set lang"))</f>
        <v>1. TOTAL INVESTISSEMENTS</v>
      </c>
      <c r="C7" s="143" t="str">
        <f>IF(lang=1,labels!E173,IF(lang=2,labels!F173,"set lang"))</f>
        <v>Spécifiez dans cette colonne</v>
      </c>
      <c r="D7" s="158">
        <f ca="1">SUM(INDIRECT("D8:D"&amp;MATCH("W",$A:$A,0)-1))</f>
        <v>0</v>
      </c>
      <c r="E7" s="158">
        <f ca="1">SUM(INDIRECT("E8:E"&amp;MATCH("W",$A:$A,0)-1))</f>
        <v>0</v>
      </c>
      <c r="F7" s="158">
        <f ca="1">SUM(INDIRECT("F8:F"&amp;MATCH("W",$A:$A,0)-1))</f>
        <v>0</v>
      </c>
      <c r="G7" s="158">
        <f ca="1">SUM(INDIRECT("G8:G"&amp;MATCH("W",$A:$A,0)-1))</f>
        <v>0</v>
      </c>
      <c r="H7" s="158">
        <f ca="1">SUM(INDIRECT("H8:H"&amp;MATCH("W",$A:$A,0)-1))</f>
        <v>0</v>
      </c>
      <c r="I7" s="159">
        <f ca="1">SUM(D7:H7)</f>
        <v>0</v>
      </c>
      <c r="J7" t="s">
        <v>728</v>
      </c>
    </row>
    <row r="8" spans="1:10" s="88" customFormat="1" ht="15" x14ac:dyDescent="0.25">
      <c r="B8" s="187" t="str">
        <f>IF(lang=1,labels!E51,IF(lang=2,labels!F51,"set lang"))</f>
        <v>1.1 Sous-rubrique 1</v>
      </c>
      <c r="C8" s="144"/>
      <c r="D8" s="160"/>
      <c r="E8" s="160"/>
      <c r="F8" s="160"/>
      <c r="G8" s="160"/>
      <c r="H8" s="160"/>
      <c r="I8" s="199">
        <f>SUM(D8:H8)</f>
        <v>0</v>
      </c>
      <c r="J8" s="88" t="s">
        <v>729</v>
      </c>
    </row>
    <row r="9" spans="1:10" s="88" customFormat="1" ht="15" x14ac:dyDescent="0.25">
      <c r="B9" s="187" t="str">
        <f>IF(lang=1,labels!E48,IF(lang=2,labels!F48,"set lang"))</f>
        <v>1.2 Sous-rubrique 2</v>
      </c>
      <c r="C9" s="144"/>
      <c r="D9" s="160"/>
      <c r="E9" s="160"/>
      <c r="F9" s="160"/>
      <c r="G9" s="160"/>
      <c r="H9" s="160"/>
      <c r="I9" s="199">
        <f t="shared" ref="I9:I20" si="1">SUM(D9:H9)</f>
        <v>0</v>
      </c>
      <c r="J9" s="88" t="s">
        <v>730</v>
      </c>
    </row>
    <row r="10" spans="1:10" s="88" customFormat="1" ht="15" x14ac:dyDescent="0.25">
      <c r="B10" s="187" t="str">
        <f>IF(lang=1,labels!E49,IF(lang=2,labels!F49,"set lang"))</f>
        <v>1.x Sous-rubrique x</v>
      </c>
      <c r="C10" s="144"/>
      <c r="D10" s="160"/>
      <c r="E10" s="160"/>
      <c r="F10" s="160"/>
      <c r="G10" s="160"/>
      <c r="H10" s="160"/>
      <c r="I10" s="199">
        <f t="shared" si="1"/>
        <v>0</v>
      </c>
      <c r="J10" s="88" t="s">
        <v>731</v>
      </c>
    </row>
    <row r="11" spans="1:10" s="88" customFormat="1" ht="15" x14ac:dyDescent="0.25">
      <c r="B11" s="187"/>
      <c r="C11" s="144"/>
      <c r="D11" s="160"/>
      <c r="E11" s="160"/>
      <c r="F11" s="160"/>
      <c r="G11" s="160"/>
      <c r="H11" s="160"/>
      <c r="I11" s="199"/>
    </row>
    <row r="12" spans="1:10" ht="15" x14ac:dyDescent="0.25">
      <c r="A12" t="s">
        <v>732</v>
      </c>
      <c r="B12" s="43" t="str">
        <f>IF(lang=1,labels!E54,IF(lang=2,labels!F54,"set lang"))</f>
        <v>2. TOTAL FONCTIONNEMENT</v>
      </c>
      <c r="C12" s="143"/>
      <c r="D12" s="158">
        <f ca="1">SUM(INDIRECT("D"&amp;ROW()+1&amp;":D"&amp;MATCH("P",$A:$A,0)-1))</f>
        <v>0</v>
      </c>
      <c r="E12" s="158">
        <f ca="1">SUM(INDIRECT("E"&amp;ROW()+1&amp;":E"&amp;MATCH("P",$A:$A,0)-1))</f>
        <v>0</v>
      </c>
      <c r="F12" s="158">
        <f ca="1">SUM(INDIRECT("F"&amp;ROW()+1&amp;":F"&amp;MATCH("P",$A:$A,0)-1))</f>
        <v>0</v>
      </c>
      <c r="G12" s="158">
        <f ca="1">SUM(INDIRECT("G"&amp;ROW()+1&amp;":G"&amp;MATCH("P",$A:$A,0)-1))</f>
        <v>0</v>
      </c>
      <c r="H12" s="158">
        <f ca="1">SUM(INDIRECT("H"&amp;ROW()+1&amp;":H"&amp;MATCH("P",$A:$A,0)-1))</f>
        <v>0</v>
      </c>
      <c r="I12" s="159">
        <f t="shared" ca="1" si="1"/>
        <v>0</v>
      </c>
      <c r="J12" t="s">
        <v>733</v>
      </c>
    </row>
    <row r="13" spans="1:10" s="88" customFormat="1" ht="15" x14ac:dyDescent="0.25">
      <c r="B13" s="188" t="str">
        <f>IF(lang=1,labels!E55,IF(lang=2,labels!F55,"set lang"))</f>
        <v>2.1 Sous-rubrique 1</v>
      </c>
      <c r="C13" s="145"/>
      <c r="D13" s="161"/>
      <c r="E13" s="161"/>
      <c r="F13" s="161"/>
      <c r="G13" s="161"/>
      <c r="H13" s="161"/>
      <c r="I13" s="200">
        <f t="shared" si="1"/>
        <v>0</v>
      </c>
      <c r="J13" s="88" t="s">
        <v>734</v>
      </c>
    </row>
    <row r="14" spans="1:10" s="88" customFormat="1" ht="15" x14ac:dyDescent="0.25">
      <c r="B14" s="188" t="str">
        <f>IF(lang=1,labels!E56,IF(lang=2,labels!F56,"set lang"))</f>
        <v>2.2 Sous-rubrique 2</v>
      </c>
      <c r="C14" s="145"/>
      <c r="D14" s="161"/>
      <c r="E14" s="161"/>
      <c r="F14" s="161"/>
      <c r="G14" s="161"/>
      <c r="H14" s="161"/>
      <c r="I14" s="200">
        <f t="shared" si="1"/>
        <v>0</v>
      </c>
    </row>
    <row r="15" spans="1:10" s="88" customFormat="1" ht="15" x14ac:dyDescent="0.25">
      <c r="B15" s="188" t="str">
        <f>IF(lang=1,labels!E57,IF(lang=2,labels!F57,"set lang"))</f>
        <v>2.x Sous-rubrique x</v>
      </c>
      <c r="C15" s="145"/>
      <c r="D15" s="161"/>
      <c r="E15" s="161"/>
      <c r="F15" s="161"/>
      <c r="G15" s="161"/>
      <c r="H15" s="161"/>
      <c r="I15" s="200">
        <f t="shared" si="1"/>
        <v>0</v>
      </c>
    </row>
    <row r="16" spans="1:10" s="88" customFormat="1" ht="15" x14ac:dyDescent="0.25">
      <c r="B16" s="188"/>
      <c r="C16" s="145"/>
      <c r="D16" s="161"/>
      <c r="E16" s="161"/>
      <c r="F16" s="161"/>
      <c r="G16" s="161"/>
      <c r="H16" s="161"/>
      <c r="I16" s="200"/>
    </row>
    <row r="17" spans="1:21" ht="15" x14ac:dyDescent="0.25">
      <c r="A17" t="s">
        <v>735</v>
      </c>
      <c r="B17" s="43" t="str">
        <f>IF(lang=1,labels!E58,IF(lang=2,labels!F58,"set lang"))</f>
        <v>3. TOTAL PERSONNEL</v>
      </c>
      <c r="C17" s="143"/>
      <c r="D17" s="158">
        <f ca="1">SUM(INDIRECT("D"&amp;ROW()+1&amp;":D"&amp;MATCH("E",$A:$A,0)-1))</f>
        <v>0</v>
      </c>
      <c r="E17" s="162">
        <f ca="1">SUM(INDIRECT("E"&amp;ROW()+1&amp;":E"&amp;MATCH("E",$A:$A,0)-1))</f>
        <v>0</v>
      </c>
      <c r="F17" s="162">
        <f ca="1">SUM(INDIRECT("F"&amp;ROW()+1&amp;":F"&amp;MATCH("E",$A:$A,0)-1))</f>
        <v>0</v>
      </c>
      <c r="G17" s="162">
        <f ca="1">SUM(INDIRECT("G"&amp;ROW()+1&amp;":G"&amp;MATCH("E",$A:$A,0)-1))</f>
        <v>0</v>
      </c>
      <c r="H17" s="162">
        <f ca="1">SUM(INDIRECT("H"&amp;ROW()+1&amp;":H"&amp;MATCH("E",$A:$A,0)-1))</f>
        <v>0</v>
      </c>
      <c r="I17" s="163">
        <f t="shared" ca="1" si="1"/>
        <v>0</v>
      </c>
    </row>
    <row r="18" spans="1:21" s="88" customFormat="1" ht="15" x14ac:dyDescent="0.25">
      <c r="B18" s="189" t="str">
        <f>IF(lang=1,labels!E59,IF(lang=2,labels!F59,"set lang"))</f>
        <v>3.1 Sous-rubrique 1</v>
      </c>
      <c r="C18" s="146"/>
      <c r="D18" s="161"/>
      <c r="E18" s="161"/>
      <c r="F18" s="161"/>
      <c r="G18" s="161"/>
      <c r="H18" s="161"/>
      <c r="I18" s="200">
        <f t="shared" si="1"/>
        <v>0</v>
      </c>
    </row>
    <row r="19" spans="1:21" s="88" customFormat="1" ht="15" x14ac:dyDescent="0.25">
      <c r="B19" s="188" t="str">
        <f>IF(lang=1,labels!E60,IF(lang=2,labels!F60,"set lang"))</f>
        <v>3.2 Sous-rubrique 2</v>
      </c>
      <c r="C19" s="145"/>
      <c r="D19" s="161"/>
      <c r="E19" s="161"/>
      <c r="F19" s="161"/>
      <c r="G19" s="161"/>
      <c r="H19" s="161"/>
      <c r="I19" s="200">
        <f t="shared" si="1"/>
        <v>0</v>
      </c>
    </row>
    <row r="20" spans="1:21" s="88" customFormat="1" ht="15" x14ac:dyDescent="0.25">
      <c r="B20" s="188" t="str">
        <f>IF(lang=1,labels!E61,IF(lang=2,labels!F61,"set lang"))</f>
        <v>3.x Sous-rubrique x</v>
      </c>
      <c r="C20" s="145"/>
      <c r="D20" s="161"/>
      <c r="E20" s="161"/>
      <c r="F20" s="161"/>
      <c r="G20" s="161"/>
      <c r="H20" s="161"/>
      <c r="I20" s="200">
        <f t="shared" si="1"/>
        <v>0</v>
      </c>
    </row>
    <row r="21" spans="1:21" s="88" customFormat="1" ht="15" x14ac:dyDescent="0.25">
      <c r="B21" s="188"/>
      <c r="C21" s="145"/>
      <c r="D21" s="161"/>
      <c r="E21" s="161"/>
      <c r="F21" s="161"/>
      <c r="G21" s="161"/>
      <c r="H21" s="161"/>
      <c r="I21" s="200"/>
    </row>
    <row r="22" spans="1:21" ht="15" x14ac:dyDescent="0.25">
      <c r="A22" t="s">
        <v>736</v>
      </c>
      <c r="B22" s="44"/>
      <c r="C22" s="44"/>
      <c r="K22" t="s">
        <v>737</v>
      </c>
    </row>
    <row r="23" spans="1:21" ht="18" hidden="1" customHeight="1" x14ac:dyDescent="0.25">
      <c r="K23" t="s">
        <v>738</v>
      </c>
    </row>
    <row r="24" spans="1:21" ht="0" hidden="1" customHeight="1" x14ac:dyDescent="0.25">
      <c r="K24" t="s">
        <v>739</v>
      </c>
    </row>
    <row r="25" spans="1:21" ht="15" hidden="1" customHeight="1" x14ac:dyDescent="0.25">
      <c r="B25" s="114" t="s">
        <v>740</v>
      </c>
      <c r="C25" s="114"/>
      <c r="K25" t="s">
        <v>741</v>
      </c>
    </row>
    <row r="26" spans="1:21" ht="15" customHeight="1" x14ac:dyDescent="0.25">
      <c r="B26" t="str">
        <f>IF(lang=1,labels!E62,IF(lang=2,labels!F62,"set lang"))</f>
        <v>Salaire du personnel : montants bruts incluant les charges de sécurité sociale et les autres coûts liés</v>
      </c>
    </row>
    <row r="27" spans="1:21" ht="15" customHeight="1" x14ac:dyDescent="0.25"/>
    <row r="28" spans="1:21" ht="15" hidden="1" customHeight="1" x14ac:dyDescent="0.25">
      <c r="B28" s="184" t="str">
        <f>IF(lang=2,K22,K23)</f>
        <v>Spécifiez la sous-rubrique dans les colonnes bleus, laissez vide s'il s'agit encore de la même sous-rubrique que sur la ligne précédente.</v>
      </c>
      <c r="D28" s="185"/>
      <c r="E28" s="185"/>
      <c r="F28" s="185"/>
      <c r="G28" s="185"/>
      <c r="H28" s="185"/>
    </row>
    <row r="29" spans="1:21" ht="15" hidden="1" customHeight="1" x14ac:dyDescent="0.25">
      <c r="D29" s="186" t="str">
        <f>IF(lang=2,K24,K25)</f>
        <v>Indiquez les montants dans les colonnes jaunes.</v>
      </c>
      <c r="E29" s="53"/>
      <c r="F29" s="53"/>
    </row>
    <row r="30" spans="1:21" ht="15" hidden="1" customHeight="1" x14ac:dyDescent="0.25"/>
    <row r="31" spans="1:21" ht="15" hidden="1" customHeight="1" x14ac:dyDescent="0.25">
      <c r="B31" t="str">
        <f>B7</f>
        <v>1. TOTAL INVESTISSEMENTS</v>
      </c>
      <c r="D31">
        <f>SUM(D32:D64)</f>
        <v>469</v>
      </c>
      <c r="E31" t="str">
        <f>B12</f>
        <v>2. TOTAL FONCTIONNEMENT</v>
      </c>
      <c r="F31">
        <f>SUM(F32:F64)</f>
        <v>0</v>
      </c>
      <c r="G31" t="str">
        <f>B17</f>
        <v>3. TOTAL PERSONNEL</v>
      </c>
      <c r="H31">
        <f>SUM(H32:H64)</f>
        <v>0</v>
      </c>
      <c r="J31" t="str">
        <f>B31</f>
        <v>1. TOTAL INVESTISSEMENTS</v>
      </c>
      <c r="K31">
        <f>SUM(K32:K64)</f>
        <v>469</v>
      </c>
      <c r="L31" t="str">
        <f>E31</f>
        <v>2. TOTAL FONCTIONNEMENT</v>
      </c>
      <c r="M31">
        <f>SUM(M32:M64)</f>
        <v>0</v>
      </c>
      <c r="N31" t="str">
        <f>G31</f>
        <v>3. TOTAL PERSONNEL</v>
      </c>
      <c r="O31">
        <f>SUM(O32:O64)</f>
        <v>0</v>
      </c>
      <c r="Q31" t="s">
        <v>727</v>
      </c>
      <c r="S31" t="s">
        <v>732</v>
      </c>
      <c r="U31" t="s">
        <v>735</v>
      </c>
    </row>
    <row r="32" spans="1:21" ht="15" hidden="1" customHeight="1" x14ac:dyDescent="0.25">
      <c r="B32" s="185" t="s">
        <v>742</v>
      </c>
      <c r="D32">
        <v>445</v>
      </c>
      <c r="E32" s="185"/>
      <c r="G32" s="185"/>
      <c r="J32" t="str">
        <f>B32</f>
        <v>poli</v>
      </c>
      <c r="K32">
        <f>D32</f>
        <v>445</v>
      </c>
      <c r="L32">
        <f>E32</f>
        <v>0</v>
      </c>
      <c r="M32">
        <f>F32</f>
        <v>0</v>
      </c>
      <c r="N32">
        <f>G32</f>
        <v>0</v>
      </c>
      <c r="O32">
        <f>H32</f>
        <v>0</v>
      </c>
    </row>
    <row r="33" spans="2:22" ht="15" hidden="1" customHeight="1" x14ac:dyDescent="0.25">
      <c r="B33" s="185"/>
      <c r="D33">
        <v>24</v>
      </c>
      <c r="E33" s="185"/>
      <c r="G33" s="185"/>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25">
      <c r="B34" s="185"/>
      <c r="E34" s="185"/>
      <c r="G34" s="185"/>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25">
      <c r="B35" s="185"/>
      <c r="E35" s="185"/>
      <c r="G35" s="185"/>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25">
      <c r="B36" s="185"/>
      <c r="E36" s="185"/>
      <c r="G36" s="185"/>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25">
      <c r="B37" s="185"/>
      <c r="E37" s="185"/>
      <c r="G37" s="185"/>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25">
      <c r="B38" s="185"/>
      <c r="E38" s="185"/>
      <c r="G38" s="185"/>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25">
      <c r="B39" s="185"/>
      <c r="E39" s="185"/>
      <c r="G39" s="185"/>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25">
      <c r="B40" s="185"/>
      <c r="E40" s="185"/>
      <c r="G40" s="185"/>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25">
      <c r="B41" s="185"/>
      <c r="E41" s="185"/>
      <c r="G41" s="185"/>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25">
      <c r="B42" s="185"/>
      <c r="E42" s="185"/>
      <c r="G42" s="185"/>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25">
      <c r="B43" s="185"/>
      <c r="E43" s="185"/>
      <c r="G43" s="185"/>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25">
      <c r="B44" s="185"/>
      <c r="E44" s="185"/>
      <c r="G44" s="185"/>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25">
      <c r="B45" s="185"/>
      <c r="E45" s="185"/>
      <c r="G45" s="185"/>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25">
      <c r="B46" s="185"/>
      <c r="E46" s="185"/>
      <c r="G46" s="185"/>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25">
      <c r="B47" s="185"/>
      <c r="E47" s="185"/>
      <c r="G47" s="185"/>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25">
      <c r="B48" s="185"/>
      <c r="E48" s="185"/>
      <c r="G48" s="185"/>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25">
      <c r="B49" s="185"/>
      <c r="E49" s="185"/>
      <c r="G49" s="185"/>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25">
      <c r="B50" s="185"/>
      <c r="E50" s="185"/>
      <c r="G50" s="185"/>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25">
      <c r="B51" s="185"/>
      <c r="E51" s="185"/>
      <c r="G51" s="185"/>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25">
      <c r="B52" s="185"/>
      <c r="E52" s="185"/>
      <c r="G52" s="185"/>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25">
      <c r="B53" s="185"/>
      <c r="E53" s="185"/>
      <c r="G53" s="185"/>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25">
      <c r="B54" s="185"/>
      <c r="E54" s="185"/>
      <c r="G54" s="185"/>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25">
      <c r="B55" s="185"/>
      <c r="E55" s="185"/>
      <c r="G55" s="185"/>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25">
      <c r="B56" s="185"/>
      <c r="E56" s="185"/>
      <c r="G56" s="185"/>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25">
      <c r="B57" s="185"/>
      <c r="E57" s="185"/>
      <c r="G57" s="185"/>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25">
      <c r="B58" s="185"/>
      <c r="E58" s="185"/>
      <c r="G58" s="185"/>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25">
      <c r="B59" s="185"/>
      <c r="E59" s="185"/>
      <c r="G59" s="185"/>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25">
      <c r="B60" s="185"/>
      <c r="E60" s="185"/>
      <c r="G60" s="185"/>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25">
      <c r="B61" s="185"/>
      <c r="E61" s="185"/>
      <c r="G61" s="185"/>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25">
      <c r="B62" s="185"/>
      <c r="E62" s="185"/>
      <c r="G62" s="185"/>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25">
      <c r="B63" s="185"/>
      <c r="E63" s="185"/>
      <c r="G63" s="185"/>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25">
      <c r="B64" s="185"/>
      <c r="E64" s="185"/>
      <c r="G64" s="185"/>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2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15" workbookViewId="0">
      <selection activeCell="T25" sqref="T25"/>
    </sheetView>
  </sheetViews>
  <sheetFormatPr defaultColWidth="0" defaultRowHeight="15" zeroHeight="1" x14ac:dyDescent="0.25"/>
  <cols>
    <col min="1" max="1" width="7.7109375" hidden="1" customWidth="1"/>
    <col min="2" max="8" width="2.42578125" customWidth="1"/>
    <col min="9" max="9" width="2.42578125" hidden="1" customWidth="1"/>
    <col min="10" max="14" width="2.42578125" customWidth="1"/>
    <col min="15" max="20" width="15.7109375" customWidth="1"/>
    <col min="21" max="21" width="2.42578125" customWidth="1"/>
    <col min="22" max="24" width="9.140625" hidden="1" customWidth="1"/>
    <col min="25" max="25" width="11" hidden="1" customWidth="1"/>
    <col min="26" max="26" width="33.85546875" hidden="1" customWidth="1"/>
    <col min="27" max="28" width="11" hidden="1" customWidth="1"/>
    <col min="29" max="29" width="9.140625" hidden="1" customWidth="1"/>
    <col min="30" max="30" width="15" hidden="1" customWidth="1"/>
    <col min="31" max="35" width="9.140625" hidden="1" customWidth="1"/>
    <col min="36" max="36" width="11" hidden="1" customWidth="1"/>
    <col min="37" max="37" width="19.5703125" hidden="1" customWidth="1"/>
    <col min="38" max="16384" width="9.140625" hidden="1"/>
  </cols>
  <sheetData>
    <row r="1" spans="1:37" ht="15.75" hidden="1" thickBot="1" x14ac:dyDescent="0.3"/>
    <row r="2" spans="1:37" ht="15" hidden="1" customHeight="1" x14ac:dyDescent="0.25">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75" thickBot="1" x14ac:dyDescent="0.3">
      <c r="A3" s="4"/>
      <c r="B3" s="6"/>
      <c r="C3" s="6"/>
      <c r="D3" s="6"/>
      <c r="E3" s="6"/>
      <c r="F3" s="6"/>
      <c r="G3" s="6"/>
      <c r="H3" s="6"/>
      <c r="I3" s="6"/>
      <c r="J3" s="6"/>
      <c r="K3" s="6"/>
      <c r="L3" s="6"/>
      <c r="M3" s="6"/>
      <c r="N3" s="6"/>
      <c r="O3" s="6"/>
      <c r="P3" s="6"/>
      <c r="Q3" s="6"/>
      <c r="R3" s="6"/>
      <c r="S3" s="6"/>
      <c r="T3" s="6"/>
      <c r="U3" s="5"/>
      <c r="AB3">
        <v>6</v>
      </c>
      <c r="AC3">
        <v>25</v>
      </c>
      <c r="AD3">
        <f>AB3*AC3</f>
        <v>150</v>
      </c>
    </row>
    <row r="4" spans="1:37" ht="15.75" thickBot="1" x14ac:dyDescent="0.3">
      <c r="A4" s="4"/>
      <c r="B4" s="203"/>
      <c r="C4" s="203"/>
      <c r="D4" s="203"/>
      <c r="E4" s="203"/>
      <c r="F4" s="203"/>
      <c r="G4" s="203"/>
      <c r="H4" s="203"/>
      <c r="I4" s="203"/>
      <c r="J4" s="203"/>
      <c r="K4" s="203"/>
      <c r="L4" s="203"/>
      <c r="M4" s="203"/>
      <c r="N4" s="203"/>
      <c r="O4" s="203" t="str">
        <f>IF(lang=1,labels!$E172,IF(lang=2,labels!$F172,"set lang"))</f>
        <v>CO - TOTAL DES COÛTS OPÉRATIONNELS POUR LE PROGRAMME</v>
      </c>
      <c r="P4" s="203"/>
      <c r="Q4" s="203"/>
      <c r="R4" s="203"/>
      <c r="S4" s="203"/>
      <c r="T4" s="204"/>
      <c r="U4" s="5"/>
      <c r="AB4">
        <v>30</v>
      </c>
      <c r="AC4">
        <v>25</v>
      </c>
      <c r="AD4">
        <f>AB4*AC4</f>
        <v>750</v>
      </c>
      <c r="AE4">
        <v>750</v>
      </c>
    </row>
    <row r="5" spans="1:37" ht="15" customHeight="1" thickBot="1" x14ac:dyDescent="0.3">
      <c r="A5" s="4"/>
      <c r="B5" s="6"/>
      <c r="C5" s="6"/>
      <c r="D5" s="6"/>
      <c r="E5" s="6"/>
      <c r="F5" s="6"/>
      <c r="G5" s="6"/>
      <c r="H5" s="6"/>
      <c r="I5" s="6"/>
      <c r="J5" s="6"/>
      <c r="K5" s="6"/>
      <c r="L5" s="6"/>
      <c r="M5" s="6"/>
      <c r="N5" s="6"/>
      <c r="O5" s="6"/>
      <c r="P5" s="6"/>
      <c r="Q5" s="6"/>
      <c r="R5" s="6"/>
      <c r="S5" s="6"/>
      <c r="T5" s="6"/>
      <c r="U5" s="5"/>
    </row>
    <row r="6" spans="1:37" ht="15" hidden="1" customHeight="1" thickBot="1" x14ac:dyDescent="0.3">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25">
      <c r="A7" s="4"/>
      <c r="B7" s="262" t="str">
        <f>IF(lang=1,labels!E133,IF(lang=2,labels!F133,"set lang"))</f>
        <v>RUBRIQUES</v>
      </c>
      <c r="C7" s="297"/>
      <c r="D7" s="297"/>
      <c r="E7" s="297"/>
      <c r="F7" s="297"/>
      <c r="G7" s="297"/>
      <c r="H7" s="297"/>
      <c r="I7" s="297"/>
      <c r="J7" s="297"/>
      <c r="K7" s="297"/>
      <c r="L7" s="297"/>
      <c r="M7" s="297"/>
      <c r="N7" s="298"/>
      <c r="O7" s="220">
        <v>2022</v>
      </c>
      <c r="P7" s="220">
        <v>2023</v>
      </c>
      <c r="Q7" s="220">
        <v>2024</v>
      </c>
      <c r="R7" s="220">
        <v>2025</v>
      </c>
      <c r="S7" s="220">
        <v>2026</v>
      </c>
      <c r="T7" s="13" t="s">
        <v>78</v>
      </c>
      <c r="U7" s="5"/>
      <c r="X7" s="54" t="s">
        <v>744</v>
      </c>
      <c r="Y7" s="54" t="s">
        <v>745</v>
      </c>
      <c r="Z7" s="54" t="s">
        <v>236</v>
      </c>
      <c r="AA7" s="54" t="s">
        <v>45</v>
      </c>
      <c r="AB7" s="54" t="s">
        <v>746</v>
      </c>
      <c r="AC7" s="54" t="s">
        <v>747</v>
      </c>
      <c r="AD7" s="54" t="s">
        <v>748</v>
      </c>
      <c r="AE7" s="54" t="s">
        <v>749</v>
      </c>
      <c r="AF7" s="54" t="s">
        <v>750</v>
      </c>
      <c r="AG7" s="54" t="s">
        <v>751</v>
      </c>
      <c r="AI7" t="s">
        <v>752</v>
      </c>
      <c r="AJ7" t="s">
        <v>235</v>
      </c>
      <c r="AK7" t="s">
        <v>236</v>
      </c>
    </row>
    <row r="8" spans="1:37" x14ac:dyDescent="0.25">
      <c r="A8" s="4" t="s">
        <v>753</v>
      </c>
      <c r="B8" s="253" t="str">
        <f>IF(lang=1,labels!E134,IF(lang=2,labels!F134,"set lang"))</f>
        <v>1. TOTAL PARTENAIRES</v>
      </c>
      <c r="C8" s="299"/>
      <c r="D8" s="299"/>
      <c r="E8" s="299"/>
      <c r="F8" s="299"/>
      <c r="G8" s="299"/>
      <c r="H8" s="299"/>
      <c r="I8" s="299"/>
      <c r="J8" s="299"/>
      <c r="K8" s="299"/>
      <c r="L8" s="299"/>
      <c r="M8" s="299"/>
      <c r="N8" s="300"/>
      <c r="O8" s="208">
        <f ca="1">SUMIFS(Table1[amount],Table1[year],O$7,Table1[item],$A8)</f>
        <v>3353313.0191468066</v>
      </c>
      <c r="P8" s="208">
        <f ca="1">SUMIFS(Table1[amount],Table1[year],P$7,Table1[item],$A8)</f>
        <v>3668067.7613334386</v>
      </c>
      <c r="Q8" s="208">
        <f ca="1">SUMIFS(Table1[amount],Table1[year],Q$7,Table1[item],$A8)</f>
        <v>3802775.721608297</v>
      </c>
      <c r="R8" s="208">
        <f ca="1">SUMIFS(Table1[amount],Table1[year],R$7,Table1[item],$A8)</f>
        <v>3456048.0701015303</v>
      </c>
      <c r="S8" s="208">
        <f ca="1">SUMIFS(Table1[amount],Table1[year],S$7,Table1[item],$A8)</f>
        <v>3268173.0387768545</v>
      </c>
      <c r="T8" s="209">
        <f ca="1">SUMIFS(Table1[amount],Table1[year],T$7,Table1[item],$A8)</f>
        <v>17548377.610966928</v>
      </c>
      <c r="U8" s="5"/>
      <c r="X8">
        <v>1</v>
      </c>
      <c r="Y8" s="53" t="s">
        <v>753</v>
      </c>
      <c r="Z8" s="53" t="s">
        <v>162</v>
      </c>
      <c r="AA8" s="53" t="str">
        <f>IF(OR(VLOOKUP(Table1[[#This Row],[sheet]],Prg!$A$7:$F$31,6,FALSE)=Prg!$O$2,VLOOKUP(Table1[[#This Row],[sheet]],Prg!$A$7:$F$31,6,FALSE)=Prg!$O$3),"Yes","No")</f>
        <v>Yes</v>
      </c>
      <c r="AB8" s="53">
        <v>2022</v>
      </c>
      <c r="AC8">
        <v>15</v>
      </c>
      <c r="AD8">
        <f ca="1">IF(ISERROR(VLOOKUP(Table1[[#This Row],[item]],INDIRECT("'"&amp;Table1[[#This Row],[sheet]]&amp;"'!$A$8:$T$42"),Table1[[#This Row],[r]],FALSE)),"",VLOOKUP(Table1[[#This Row],[item]],INDIRECT("'"&amp;Table1[[#This Row],[sheet]]&amp;"'!$A$8:$T$42"),Table1[[#This Row],[r]],FALSE))</f>
        <v>0</v>
      </c>
      <c r="AE8">
        <f>IF(VLOOKUP(Table1[[#This Row],[sheet]],Prg!$A$7:$J$31,10,FALSE)="","",VLOOKUP(Table1[[#This Row],[sheet]],Prg!$A$7:$J$31,10,FALSE)*1)</f>
        <v>1</v>
      </c>
      <c r="AF8" t="str">
        <f>VLOOKUP(Table1[[#This Row],[sheet]],Prg!$A$7:$J$31,5,FALSE)</f>
        <v>BELGIUM</v>
      </c>
      <c r="AG8">
        <f>ROW()</f>
        <v>8</v>
      </c>
      <c r="AI8">
        <v>1</v>
      </c>
      <c r="AJ8">
        <f>COUNTIF(Table1[sheet],Table3[[#This Row],[check]])</f>
        <v>180</v>
      </c>
    </row>
    <row r="9" spans="1:37" x14ac:dyDescent="0.25">
      <c r="A9" s="4" t="s">
        <v>754</v>
      </c>
      <c r="B9" s="250" t="str">
        <f>IF(lang=1,labels!E135,IF(lang=2,labels!F135,"set lang"))</f>
        <v>1.1 Investissements</v>
      </c>
      <c r="C9" s="295"/>
      <c r="D9" s="295"/>
      <c r="E9" s="295"/>
      <c r="F9" s="295"/>
      <c r="G9" s="295"/>
      <c r="H9" s="295"/>
      <c r="I9" s="295"/>
      <c r="J9" s="295"/>
      <c r="K9" s="295"/>
      <c r="L9" s="295"/>
      <c r="M9" s="295"/>
      <c r="N9" s="296"/>
      <c r="O9" s="206">
        <f ca="1">SUMIFS(Table1[amount],Table1[year],O$7,Table1[item],$A9)</f>
        <v>251430.46187112323</v>
      </c>
      <c r="P9" s="206">
        <f ca="1">SUMIFS(Table1[amount],Table1[year],P$7,Table1[item],$A9)</f>
        <v>88239.116787983599</v>
      </c>
      <c r="Q9" s="206">
        <f ca="1">SUMIFS(Table1[amount],Table1[year],Q$7,Table1[item],$A9)</f>
        <v>43020.556150795295</v>
      </c>
      <c r="R9" s="206">
        <f ca="1">SUMIFS(Table1[amount],Table1[year],R$7,Table1[item],$A9)</f>
        <v>44712.056150795295</v>
      </c>
      <c r="S9" s="206">
        <f ca="1">SUMIFS(Table1[amount],Table1[year],S$7,Table1[item],$A9)</f>
        <v>31843.076150795296</v>
      </c>
      <c r="T9" s="210">
        <f ca="1">SUMIFS(Table1[amount],Table1[year],T$7,Table1[item],$A9)</f>
        <v>459245.26711149269</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0</v>
      </c>
      <c r="AE9">
        <f>IF(VLOOKUP(Table1[[#This Row],[sheet]],Prg!$A$7:$J$31,10,FALSE)="","",VLOOKUP(Table1[[#This Row],[sheet]],Prg!$A$7:$J$31,10,FALSE)*1)</f>
        <v>1</v>
      </c>
      <c r="AF9" t="str">
        <f>VLOOKUP(Table1[[#This Row],[sheet]],Prg!$A$7:$J$31,5,FALSE)</f>
        <v>BELGIUM</v>
      </c>
      <c r="AG9">
        <f>ROW()</f>
        <v>9</v>
      </c>
      <c r="AI9">
        <v>2</v>
      </c>
      <c r="AJ9">
        <f>COUNTIF(Table1[sheet],Table3[[#This Row],[check]])</f>
        <v>180</v>
      </c>
    </row>
    <row r="10" spans="1:37" x14ac:dyDescent="0.25">
      <c r="A10" s="4" t="s">
        <v>755</v>
      </c>
      <c r="B10" s="250" t="str">
        <f>IF(lang=1,labels!E136,IF(lang=2,labels!F136,"set lang"))</f>
        <v>1.2 Fonctionnement</v>
      </c>
      <c r="C10" s="295"/>
      <c r="D10" s="295"/>
      <c r="E10" s="295"/>
      <c r="F10" s="295"/>
      <c r="G10" s="295"/>
      <c r="H10" s="295"/>
      <c r="I10" s="295"/>
      <c r="J10" s="295"/>
      <c r="K10" s="295"/>
      <c r="L10" s="295"/>
      <c r="M10" s="295"/>
      <c r="N10" s="296"/>
      <c r="O10" s="206">
        <f ca="1">SUMIFS(Table1[amount],Table1[year],O$7,Table1[item],$A10)</f>
        <v>2290023.3245454542</v>
      </c>
      <c r="P10" s="206">
        <f ca="1">SUMIFS(Table1[amount],Table1[year],P$7,Table1[item],$A10)</f>
        <v>2767319.0745454547</v>
      </c>
      <c r="Q10" s="206">
        <f ca="1">SUMIFS(Table1[amount],Table1[year],Q$7,Table1[item],$A10)</f>
        <v>2926511.5127272727</v>
      </c>
      <c r="R10" s="206">
        <f ca="1">SUMIFS(Table1[amount],Table1[year],R$7,Table1[item],$A10)</f>
        <v>2576098.5312205069</v>
      </c>
      <c r="S10" s="206">
        <f ca="1">SUMIFS(Table1[amount],Table1[year],S$7,Table1[item],$A10)</f>
        <v>2404574.4798958311</v>
      </c>
      <c r="T10" s="210">
        <f ca="1">SUMIFS(Table1[amount],Table1[year],T$7,Table1[item],$A10)</f>
        <v>12964526.922934521</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0</v>
      </c>
      <c r="AE10">
        <f>IF(VLOOKUP(Table1[[#This Row],[sheet]],Prg!$A$7:$J$31,10,FALSE)="","",VLOOKUP(Table1[[#This Row],[sheet]],Prg!$A$7:$J$31,10,FALSE)*1)</f>
        <v>1</v>
      </c>
      <c r="AF10" t="str">
        <f>VLOOKUP(Table1[[#This Row],[sheet]],Prg!$A$7:$J$31,5,FALSE)</f>
        <v>BELGIUM</v>
      </c>
      <c r="AG10">
        <f>ROW()</f>
        <v>10</v>
      </c>
      <c r="AI10">
        <v>3</v>
      </c>
      <c r="AJ10">
        <f>COUNTIF(Table1[sheet],Table3[[#This Row],[check]])</f>
        <v>180</v>
      </c>
    </row>
    <row r="11" spans="1:37" x14ac:dyDescent="0.25">
      <c r="A11" s="4" t="s">
        <v>756</v>
      </c>
      <c r="B11" s="250" t="str">
        <f>IF(lang=1,labels!E137,IF(lang=2,labels!F137,"set lang"))</f>
        <v>1.3 Personnel</v>
      </c>
      <c r="C11" s="295"/>
      <c r="D11" s="295"/>
      <c r="E11" s="295"/>
      <c r="F11" s="295"/>
      <c r="G11" s="295"/>
      <c r="H11" s="295"/>
      <c r="I11" s="295"/>
      <c r="J11" s="295"/>
      <c r="K11" s="295"/>
      <c r="L11" s="295"/>
      <c r="M11" s="295"/>
      <c r="N11" s="296"/>
      <c r="O11" s="206">
        <f ca="1">SUMIFS(Table1[amount],Table1[year],O$7,Table1[item],$A11)</f>
        <v>811859.23273022845</v>
      </c>
      <c r="P11" s="206">
        <f ca="1">SUMIFS(Table1[amount],Table1[year],P$7,Table1[item],$A11)</f>
        <v>812509.57</v>
      </c>
      <c r="Q11" s="206">
        <f ca="1">SUMIFS(Table1[amount],Table1[year],Q$7,Table1[item],$A11)</f>
        <v>833243.65273022861</v>
      </c>
      <c r="R11" s="206">
        <f ca="1">SUMIFS(Table1[amount],Table1[year],R$7,Table1[item],$A11)</f>
        <v>835237.48273022845</v>
      </c>
      <c r="S11" s="206">
        <f ca="1">SUMIFS(Table1[amount],Table1[year],S$7,Table1[item],$A11)</f>
        <v>831755.48273022845</v>
      </c>
      <c r="T11" s="210">
        <f ca="1">SUMIFS(Table1[amount],Table1[year],T$7,Table1[item],$A11)</f>
        <v>4124605.420920914</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BELGIUM</v>
      </c>
      <c r="AG11">
        <f>ROW()</f>
        <v>11</v>
      </c>
      <c r="AI11">
        <v>4</v>
      </c>
      <c r="AJ11">
        <f>COUNTIF(Table1[sheet],Table3[[#This Row],[check]])</f>
        <v>180</v>
      </c>
    </row>
    <row r="12" spans="1:37" x14ac:dyDescent="0.25">
      <c r="A12" s="4" t="s">
        <v>758</v>
      </c>
      <c r="B12" s="253" t="str">
        <f>IF(lang=1,labels!E138,IF(lang=2,labels!F138,"set lang"))</f>
        <v>2. TOTAL COLLABORATIONS</v>
      </c>
      <c r="C12" s="299"/>
      <c r="D12" s="299"/>
      <c r="E12" s="299"/>
      <c r="F12" s="299"/>
      <c r="G12" s="299"/>
      <c r="H12" s="299"/>
      <c r="I12" s="299"/>
      <c r="J12" s="299"/>
      <c r="K12" s="299"/>
      <c r="L12" s="299"/>
      <c r="M12" s="299"/>
      <c r="N12" s="300"/>
      <c r="O12" s="208">
        <f ca="1">SUMIFS(Table1[amount],Table1[year],O$7,Table1[item],$A12)</f>
        <v>299373.78000000003</v>
      </c>
      <c r="P12" s="208">
        <f ca="1">SUMIFS(Table1[amount],Table1[year],P$7,Table1[item],$A12)</f>
        <v>487339.58999999997</v>
      </c>
      <c r="Q12" s="208">
        <f ca="1">SUMIFS(Table1[amount],Table1[year],Q$7,Table1[item],$A12)</f>
        <v>365998.78</v>
      </c>
      <c r="R12" s="208">
        <f ca="1">SUMIFS(Table1[amount],Table1[year],R$7,Table1[item],$A12)</f>
        <v>285353.8</v>
      </c>
      <c r="S12" s="208">
        <f ca="1">SUMIFS(Table1[amount],Table1[year],S$7,Table1[item],$A12)</f>
        <v>243056.80000000002</v>
      </c>
      <c r="T12" s="209">
        <f ca="1">SUMIFS(Table1[amount],Table1[year],T$7,Table1[item],$A12)</f>
        <v>1681122.75</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BELGIUM</v>
      </c>
      <c r="AG12">
        <f>ROW()</f>
        <v>12</v>
      </c>
      <c r="AI12">
        <v>5</v>
      </c>
      <c r="AJ12">
        <f>COUNTIF(Table1[sheet],Table3[[#This Row],[check]])</f>
        <v>180</v>
      </c>
    </row>
    <row r="13" spans="1:37" x14ac:dyDescent="0.25">
      <c r="A13" s="4" t="s">
        <v>759</v>
      </c>
      <c r="B13" s="250" t="str">
        <f>IF(lang=1,labels!E139,IF(lang=2,labels!F139,"set lang"))</f>
        <v>2.1 Investissements</v>
      </c>
      <c r="C13" s="295"/>
      <c r="D13" s="295"/>
      <c r="E13" s="295"/>
      <c r="F13" s="295"/>
      <c r="G13" s="295"/>
      <c r="H13" s="295"/>
      <c r="I13" s="295"/>
      <c r="J13" s="295"/>
      <c r="K13" s="295"/>
      <c r="L13" s="295"/>
      <c r="M13" s="295"/>
      <c r="N13" s="296"/>
      <c r="O13" s="206">
        <f ca="1">SUMIFS(Table1[amount],Table1[year],O$7,Table1[item],$A13)</f>
        <v>12650</v>
      </c>
      <c r="P13" s="206">
        <f ca="1">SUMIFS(Table1[amount],Table1[year],P$7,Table1[item],$A13)</f>
        <v>0</v>
      </c>
      <c r="Q13" s="206">
        <f ca="1">SUMIFS(Table1[amount],Table1[year],Q$7,Table1[item],$A13)</f>
        <v>1600</v>
      </c>
      <c r="R13" s="206">
        <f ca="1">SUMIFS(Table1[amount],Table1[year],R$7,Table1[item],$A13)</f>
        <v>2000</v>
      </c>
      <c r="S13" s="206">
        <f ca="1">SUMIFS(Table1[amount],Table1[year],S$7,Table1[item],$A13)</f>
        <v>2000</v>
      </c>
      <c r="T13" s="210">
        <f ca="1">SUMIFS(Table1[amount],Table1[year],T$7,Table1[item],$A13)</f>
        <v>18250</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BELGIUM</v>
      </c>
      <c r="AG13">
        <f>ROW()</f>
        <v>13</v>
      </c>
      <c r="AI13">
        <v>6</v>
      </c>
      <c r="AJ13">
        <f>COUNTIF(Table1[sheet],Table3[[#This Row],[check]])</f>
        <v>180</v>
      </c>
    </row>
    <row r="14" spans="1:37" x14ac:dyDescent="0.25">
      <c r="A14" s="4" t="s">
        <v>760</v>
      </c>
      <c r="B14" s="250" t="str">
        <f>IF(lang=1,labels!E140,IF(lang=2,labels!F140,"set lang"))</f>
        <v>2.2 Fonctionnement</v>
      </c>
      <c r="C14" s="295"/>
      <c r="D14" s="295"/>
      <c r="E14" s="295"/>
      <c r="F14" s="295"/>
      <c r="G14" s="295"/>
      <c r="H14" s="295"/>
      <c r="I14" s="295"/>
      <c r="J14" s="295"/>
      <c r="K14" s="295"/>
      <c r="L14" s="295"/>
      <c r="M14" s="295"/>
      <c r="N14" s="296"/>
      <c r="O14" s="206">
        <f ca="1">SUMIFS(Table1[amount],Table1[year],O$7,Table1[item],$A14)</f>
        <v>243073.78</v>
      </c>
      <c r="P14" s="206">
        <f ca="1">SUMIFS(Table1[amount],Table1[year],P$7,Table1[item],$A14)</f>
        <v>441089.58999999997</v>
      </c>
      <c r="Q14" s="206">
        <f ca="1">SUMIFS(Table1[amount],Table1[year],Q$7,Table1[item],$A14)</f>
        <v>314648.78000000003</v>
      </c>
      <c r="R14" s="206">
        <f ca="1">SUMIFS(Table1[amount],Table1[year],R$7,Table1[item],$A14)</f>
        <v>234103.8</v>
      </c>
      <c r="S14" s="206">
        <f ca="1">SUMIFS(Table1[amount],Table1[year],S$7,Table1[item],$A14)</f>
        <v>192406.8</v>
      </c>
      <c r="T14" s="210">
        <f ca="1">SUMIFS(Table1[amount],Table1[year],T$7,Table1[item],$A14)</f>
        <v>1425322.75</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BELGIUM</v>
      </c>
      <c r="AG14">
        <f>ROW()</f>
        <v>14</v>
      </c>
      <c r="AI14">
        <v>7</v>
      </c>
      <c r="AJ14">
        <f>COUNTIF(Table1[sheet],Table3[[#This Row],[check]])</f>
        <v>180</v>
      </c>
    </row>
    <row r="15" spans="1:37" x14ac:dyDescent="0.25">
      <c r="A15" s="4" t="s">
        <v>761</v>
      </c>
      <c r="B15" s="250" t="str">
        <f>IF(lang=1,labels!E141,IF(lang=2,labels!F141,"set lang"))</f>
        <v>2.3 Personnel</v>
      </c>
      <c r="C15" s="295"/>
      <c r="D15" s="295"/>
      <c r="E15" s="295"/>
      <c r="F15" s="295"/>
      <c r="G15" s="295"/>
      <c r="H15" s="295"/>
      <c r="I15" s="295"/>
      <c r="J15" s="295"/>
      <c r="K15" s="295"/>
      <c r="L15" s="295"/>
      <c r="M15" s="295"/>
      <c r="N15" s="296"/>
      <c r="O15" s="206">
        <f ca="1">SUMIFS(Table1[amount],Table1[year],O$7,Table1[item],$A15)</f>
        <v>43650</v>
      </c>
      <c r="P15" s="206">
        <f ca="1">SUMIFS(Table1[amount],Table1[year],P$7,Table1[item],$A15)</f>
        <v>46250</v>
      </c>
      <c r="Q15" s="206">
        <f ca="1">SUMIFS(Table1[amount],Table1[year],Q$7,Table1[item],$A15)</f>
        <v>49750</v>
      </c>
      <c r="R15" s="206">
        <f ca="1">SUMIFS(Table1[amount],Table1[year],R$7,Table1[item],$A15)</f>
        <v>49250</v>
      </c>
      <c r="S15" s="206">
        <f ca="1">SUMIFS(Table1[amount],Table1[year],S$7,Table1[item],$A15)</f>
        <v>48650</v>
      </c>
      <c r="T15" s="210">
        <f ca="1">SUMIFS(Table1[amount],Table1[year],T$7,Table1[item],$A15)</f>
        <v>237550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BELGIUM</v>
      </c>
      <c r="AG15">
        <f>ROW()</f>
        <v>15</v>
      </c>
      <c r="AI15">
        <v>8</v>
      </c>
      <c r="AJ15">
        <f>COUNTIF(Table1[sheet],Table3[[#This Row],[check]])</f>
        <v>180</v>
      </c>
    </row>
    <row r="16" spans="1:37" x14ac:dyDescent="0.25">
      <c r="A16" s="4" t="s">
        <v>763</v>
      </c>
      <c r="B16" s="253" t="str">
        <f>IF(lang=1,labels!E142,IF(lang=2,labels!F142,"set lang"))</f>
        <v>3. TOTAL BUREAU LOCAL</v>
      </c>
      <c r="C16" s="299"/>
      <c r="D16" s="299"/>
      <c r="E16" s="299"/>
      <c r="F16" s="299"/>
      <c r="G16" s="299"/>
      <c r="H16" s="299"/>
      <c r="I16" s="299"/>
      <c r="J16" s="299"/>
      <c r="K16" s="299"/>
      <c r="L16" s="299"/>
      <c r="M16" s="299"/>
      <c r="N16" s="300"/>
      <c r="O16" s="208">
        <f ca="1">SUMIFS(Table1[amount],Table1[year],O$7,Table1[item],$A16)</f>
        <v>1447394.8164652062</v>
      </c>
      <c r="P16" s="208">
        <f ca="1">SUMIFS(Table1[amount],Table1[year],P$7,Table1[item],$A16)</f>
        <v>1549266.8822860774</v>
      </c>
      <c r="Q16" s="208">
        <f ca="1">SUMIFS(Table1[amount],Table1[year],Q$7,Table1[item],$A16)</f>
        <v>1490893.6485080235</v>
      </c>
      <c r="R16" s="208">
        <f ca="1">SUMIFS(Table1[amount],Table1[year],R$7,Table1[item],$A16)</f>
        <v>1573124.844762899</v>
      </c>
      <c r="S16" s="208">
        <f ca="1">SUMIFS(Table1[amount],Table1[year],S$7,Table1[item],$A16)</f>
        <v>1766448.735268103</v>
      </c>
      <c r="T16" s="209">
        <f ca="1">SUMIFS(Table1[amount],Table1[year],T$7,Table1[item],$A16)</f>
        <v>7827128.9272903092</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0</v>
      </c>
      <c r="AE16">
        <f>IF(VLOOKUP(Table1[[#This Row],[sheet]],Prg!$A$7:$J$31,10,FALSE)="","",VLOOKUP(Table1[[#This Row],[sheet]],Prg!$A$7:$J$31,10,FALSE)*1)</f>
        <v>1</v>
      </c>
      <c r="AF16" t="str">
        <f>VLOOKUP(Table1[[#This Row],[sheet]],Prg!$A$7:$J$31,5,FALSE)</f>
        <v>BELGIUM</v>
      </c>
      <c r="AG16">
        <f>ROW()</f>
        <v>16</v>
      </c>
      <c r="AI16">
        <v>9</v>
      </c>
      <c r="AJ16">
        <f>COUNTIF(Table1[sheet],Table3[[#This Row],[check]])</f>
        <v>180</v>
      </c>
    </row>
    <row r="17" spans="1:36" x14ac:dyDescent="0.25">
      <c r="A17" s="4" t="s">
        <v>764</v>
      </c>
      <c r="B17" s="250" t="str">
        <f>IF(lang=1,labels!E143,IF(lang=2,labels!F143,"set lang"))</f>
        <v>3.1 Investissements</v>
      </c>
      <c r="C17" s="295"/>
      <c r="D17" s="295"/>
      <c r="E17" s="295"/>
      <c r="F17" s="295"/>
      <c r="G17" s="295"/>
      <c r="H17" s="295"/>
      <c r="I17" s="295"/>
      <c r="J17" s="295"/>
      <c r="K17" s="295"/>
      <c r="L17" s="295"/>
      <c r="M17" s="295"/>
      <c r="N17" s="296"/>
      <c r="O17" s="206">
        <f ca="1">SUMIFS(Table1[amount],Table1[year],O$7,Table1[item],$A17)</f>
        <v>128631.94024325992</v>
      </c>
      <c r="P17" s="206">
        <f ca="1">SUMIFS(Table1[amount],Table1[year],P$7,Table1[item],$A17)</f>
        <v>8008.082286077376</v>
      </c>
      <c r="Q17" s="206">
        <f ca="1">SUMIFS(Table1[amount],Table1[year],Q$7,Table1[item],$A17)</f>
        <v>8008.082286077376</v>
      </c>
      <c r="R17" s="206">
        <f ca="1">SUMIFS(Table1[amount],Table1[year],R$7,Table1[item],$A17)</f>
        <v>7646.7785409526969</v>
      </c>
      <c r="S17" s="206">
        <f ca="1">SUMIFS(Table1[amount],Table1[year],S$7,Table1[item],$A17)</f>
        <v>6343.3390461566978</v>
      </c>
      <c r="T17" s="210">
        <f ca="1">SUMIFS(Table1[amount],Table1[year],T$7,Table1[item],$A17)</f>
        <v>158638.22240252406</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BELGIUM</v>
      </c>
      <c r="AG17">
        <f>ROW()</f>
        <v>17</v>
      </c>
      <c r="AI17">
        <v>10</v>
      </c>
      <c r="AJ17">
        <f>COUNTIF(Table1[sheet],Table3[[#This Row],[check]])</f>
        <v>180</v>
      </c>
    </row>
    <row r="18" spans="1:36" x14ac:dyDescent="0.25">
      <c r="A18" s="4" t="s">
        <v>765</v>
      </c>
      <c r="B18" s="250" t="str">
        <f>IF(lang=1,labels!E144,IF(lang=2,labels!F144,"set lang"))</f>
        <v>3.2 Fonctionnement</v>
      </c>
      <c r="C18" s="295"/>
      <c r="D18" s="295"/>
      <c r="E18" s="295"/>
      <c r="F18" s="295"/>
      <c r="G18" s="295"/>
      <c r="H18" s="295"/>
      <c r="I18" s="295"/>
      <c r="J18" s="295"/>
      <c r="K18" s="295"/>
      <c r="L18" s="295"/>
      <c r="M18" s="295"/>
      <c r="N18" s="296"/>
      <c r="O18" s="206">
        <f ca="1">SUMIFS(Table1[amount],Table1[year],O$7,Table1[item],$A18)</f>
        <v>296818.12</v>
      </c>
      <c r="P18" s="206">
        <f ca="1">SUMIFS(Table1[amount],Table1[year],P$7,Table1[item],$A18)</f>
        <v>443592.26</v>
      </c>
      <c r="Q18" s="206">
        <f ca="1">SUMIFS(Table1[amount],Table1[year],Q$7,Table1[item],$A18)</f>
        <v>407505.32999999996</v>
      </c>
      <c r="R18" s="206">
        <f ca="1">SUMIFS(Table1[amount],Table1[year],R$7,Table1[item],$A18)</f>
        <v>398037.15</v>
      </c>
      <c r="S18" s="206">
        <f ca="1">SUMIFS(Table1[amount],Table1[year],S$7,Table1[item],$A18)</f>
        <v>449297.88999999996</v>
      </c>
      <c r="T18" s="210">
        <f ca="1">SUMIFS(Table1[amount],Table1[year],T$7,Table1[item],$A18)</f>
        <v>1995250.7499999998</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0</v>
      </c>
      <c r="AE18">
        <f>IF(VLOOKUP(Table1[[#This Row],[sheet]],Prg!$A$7:$J$31,10,FALSE)="","",VLOOKUP(Table1[[#This Row],[sheet]],Prg!$A$7:$J$31,10,FALSE)*1)</f>
        <v>1</v>
      </c>
      <c r="AF18" t="str">
        <f>VLOOKUP(Table1[[#This Row],[sheet]],Prg!$A$7:$J$31,5,FALSE)</f>
        <v>BELGIUM</v>
      </c>
      <c r="AG18">
        <f>ROW()</f>
        <v>18</v>
      </c>
      <c r="AI18">
        <v>11</v>
      </c>
      <c r="AJ18">
        <f>COUNTIF(Table1[sheet],Table3[[#This Row],[check]])</f>
        <v>180</v>
      </c>
    </row>
    <row r="19" spans="1:36" x14ac:dyDescent="0.25">
      <c r="A19" s="4" t="s">
        <v>766</v>
      </c>
      <c r="B19" s="250" t="str">
        <f>IF(lang=1,labels!E145,IF(lang=2,labels!F145,"set lang"))</f>
        <v>3.3 Personnel</v>
      </c>
      <c r="C19" s="295"/>
      <c r="D19" s="295"/>
      <c r="E19" s="295"/>
      <c r="F19" s="295"/>
      <c r="G19" s="295"/>
      <c r="H19" s="295"/>
      <c r="I19" s="295"/>
      <c r="J19" s="295"/>
      <c r="K19" s="295"/>
      <c r="L19" s="295"/>
      <c r="M19" s="295"/>
      <c r="N19" s="296"/>
      <c r="O19" s="206">
        <f ca="1">SUMIFS(Table1[amount],Table1[year],O$7,Table1[item],$A19)</f>
        <v>1021944.7562219464</v>
      </c>
      <c r="P19" s="206">
        <f ca="1">SUMIFS(Table1[amount],Table1[year],P$7,Table1[item],$A19)</f>
        <v>1097666.54</v>
      </c>
      <c r="Q19" s="206">
        <f ca="1">SUMIFS(Table1[amount],Table1[year],Q$7,Table1[item],$A19)</f>
        <v>1075380.2362219463</v>
      </c>
      <c r="R19" s="206">
        <f ca="1">SUMIFS(Table1[amount],Table1[year],R$7,Table1[item],$A19)</f>
        <v>1167440.9162219462</v>
      </c>
      <c r="S19" s="206">
        <f ca="1">SUMIFS(Table1[amount],Table1[year],S$7,Table1[item],$A19)</f>
        <v>1310807.5062219461</v>
      </c>
      <c r="T19" s="210">
        <f ca="1">SUMIFS(Table1[amount],Table1[year],T$7,Table1[item],$A19)</f>
        <v>5673239.954887785</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0</v>
      </c>
      <c r="AE19">
        <f>IF(VLOOKUP(Table1[[#This Row],[sheet]],Prg!$A$7:$J$31,10,FALSE)="","",VLOOKUP(Table1[[#This Row],[sheet]],Prg!$A$7:$J$31,10,FALSE)*1)</f>
        <v>1</v>
      </c>
      <c r="AF19" t="str">
        <f>VLOOKUP(Table1[[#This Row],[sheet]],Prg!$A$7:$J$31,5,FALSE)</f>
        <v>BELGIUM</v>
      </c>
      <c r="AG19">
        <f>ROW()</f>
        <v>19</v>
      </c>
      <c r="AI19">
        <v>12</v>
      </c>
      <c r="AJ19">
        <f>COUNTIF(Table1[sheet],Table3[[#This Row],[check]])</f>
        <v>180</v>
      </c>
    </row>
    <row r="20" spans="1:36" x14ac:dyDescent="0.25">
      <c r="A20" s="4" t="s">
        <v>768</v>
      </c>
      <c r="B20" s="253" t="str">
        <f>IF(lang=1,labels!E146,IF(lang=2,labels!F146,"set lang"))</f>
        <v>4. TOTAL SIÈGE</v>
      </c>
      <c r="C20" s="299"/>
      <c r="D20" s="299"/>
      <c r="E20" s="299"/>
      <c r="F20" s="299"/>
      <c r="G20" s="299"/>
      <c r="H20" s="299"/>
      <c r="I20" s="299"/>
      <c r="J20" s="299"/>
      <c r="K20" s="299"/>
      <c r="L20" s="299"/>
      <c r="M20" s="299"/>
      <c r="N20" s="300"/>
      <c r="O20" s="208">
        <f ca="1">SUMIFS(Table1[amount],Table1[year],O$7,Table1[item],$A20)</f>
        <v>937075.35379651783</v>
      </c>
      <c r="P20" s="208">
        <f ca="1">SUMIFS(Table1[amount],Table1[year],P$7,Table1[item],$A20)</f>
        <v>843080.29742135701</v>
      </c>
      <c r="Q20" s="208">
        <f ca="1">SUMIFS(Table1[amount],Table1[year],Q$7,Table1[item],$A20)</f>
        <v>928060.56767356594</v>
      </c>
      <c r="R20" s="208">
        <f ca="1">SUMIFS(Table1[amount],Table1[year],R$7,Table1[item],$A20)</f>
        <v>979934.46670089499</v>
      </c>
      <c r="S20" s="208">
        <f ca="1">SUMIFS(Table1[amount],Table1[year],S$7,Table1[item],$A20)</f>
        <v>892289.1560349128</v>
      </c>
      <c r="T20" s="209">
        <f ca="1">SUMIFS(Table1[amount],Table1[year],T$7,Table1[item],$A20)</f>
        <v>4580439.8416272486</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609902.58146955504</v>
      </c>
      <c r="AE20">
        <f>IF(VLOOKUP(Table1[[#This Row],[sheet]],Prg!$A$7:$J$31,10,FALSE)="","",VLOOKUP(Table1[[#This Row],[sheet]],Prg!$A$7:$J$31,10,FALSE)*1)</f>
        <v>1</v>
      </c>
      <c r="AF20" t="str">
        <f>VLOOKUP(Table1[[#This Row],[sheet]],Prg!$A$7:$J$31,5,FALSE)</f>
        <v>BELGIUM</v>
      </c>
      <c r="AG20">
        <f>ROW()</f>
        <v>20</v>
      </c>
      <c r="AI20">
        <v>13</v>
      </c>
      <c r="AJ20">
        <f>COUNTIF(Table1[sheet],Table3[[#This Row],[check]])</f>
        <v>180</v>
      </c>
    </row>
    <row r="21" spans="1:36" x14ac:dyDescent="0.25">
      <c r="A21" s="4" t="s">
        <v>769</v>
      </c>
      <c r="B21" s="250" t="str">
        <f>IF(lang=1,labels!E147,IF(lang=2,labels!F147,"set lang"))</f>
        <v>4.1 Investissements</v>
      </c>
      <c r="C21" s="295"/>
      <c r="D21" s="295"/>
      <c r="E21" s="295"/>
      <c r="F21" s="295"/>
      <c r="G21" s="295"/>
      <c r="H21" s="295"/>
      <c r="I21" s="295"/>
      <c r="J21" s="295"/>
      <c r="K21" s="295"/>
      <c r="L21" s="295"/>
      <c r="M21" s="295"/>
      <c r="N21" s="296"/>
      <c r="O21" s="206">
        <f ca="1">SUMIFS(Table1[amount],Table1[year],O$7,Table1[item],$A21)</f>
        <v>4800</v>
      </c>
      <c r="P21" s="206">
        <f ca="1">SUMIFS(Table1[amount],Table1[year],P$7,Table1[item],$A21)</f>
        <v>4800</v>
      </c>
      <c r="Q21" s="206">
        <f ca="1">SUMIFS(Table1[amount],Table1[year],Q$7,Table1[item],$A21)</f>
        <v>0</v>
      </c>
      <c r="R21" s="206">
        <f ca="1">SUMIFS(Table1[amount],Table1[year],R$7,Table1[item],$A21)</f>
        <v>0</v>
      </c>
      <c r="S21" s="206">
        <f ca="1">SUMIFS(Table1[amount],Table1[year],S$7,Table1[item],$A21)</f>
        <v>0</v>
      </c>
      <c r="T21" s="210">
        <f ca="1">SUMIFS(Table1[amount],Table1[year],T$7,Table1[item],$A21)</f>
        <v>9600</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4800</v>
      </c>
      <c r="AE21">
        <f>IF(VLOOKUP(Table1[[#This Row],[sheet]],Prg!$A$7:$J$31,10,FALSE)="","",VLOOKUP(Table1[[#This Row],[sheet]],Prg!$A$7:$J$31,10,FALSE)*1)</f>
        <v>1</v>
      </c>
      <c r="AF21" t="str">
        <f>VLOOKUP(Table1[[#This Row],[sheet]],Prg!$A$7:$J$31,5,FALSE)</f>
        <v>BELGIUM</v>
      </c>
      <c r="AG21">
        <f>ROW()</f>
        <v>21</v>
      </c>
      <c r="AI21">
        <v>14</v>
      </c>
      <c r="AJ21">
        <f>COUNTIF(Table1[sheet],Table3[[#This Row],[check]])</f>
        <v>180</v>
      </c>
    </row>
    <row r="22" spans="1:36" x14ac:dyDescent="0.25">
      <c r="A22" s="4" t="s">
        <v>770</v>
      </c>
      <c r="B22" s="250" t="str">
        <f>IF(lang=1,labels!E148,IF(lang=2,labels!F148,"set lang"))</f>
        <v>4.2 Fonctionnement</v>
      </c>
      <c r="C22" s="295"/>
      <c r="D22" s="295"/>
      <c r="E22" s="295"/>
      <c r="F22" s="295"/>
      <c r="G22" s="295"/>
      <c r="H22" s="295"/>
      <c r="I22" s="295"/>
      <c r="J22" s="295"/>
      <c r="K22" s="295"/>
      <c r="L22" s="295"/>
      <c r="M22" s="295"/>
      <c r="N22" s="296"/>
      <c r="O22" s="206">
        <f ca="1">SUMIFS(Table1[amount],Table1[year],O$7,Table1[item],$A22)</f>
        <v>282500</v>
      </c>
      <c r="P22" s="206">
        <f ca="1">SUMIFS(Table1[amount],Table1[year],P$7,Table1[item],$A22)</f>
        <v>269246.63</v>
      </c>
      <c r="Q22" s="206">
        <f ca="1">SUMIFS(Table1[amount],Table1[year],Q$7,Table1[item],$A22)</f>
        <v>269200</v>
      </c>
      <c r="R22" s="206">
        <f ca="1">SUMIFS(Table1[amount],Table1[year],R$7,Table1[item],$A22)</f>
        <v>262200</v>
      </c>
      <c r="S22" s="206">
        <f ca="1">SUMIFS(Table1[amount],Table1[year],S$7,Table1[item],$A22)</f>
        <v>262200</v>
      </c>
      <c r="T22" s="210">
        <f ca="1">SUMIFS(Table1[amount],Table1[year],T$7,Table1[item],$A22)</f>
        <v>1345346.63</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169000</v>
      </c>
      <c r="AE22">
        <f>IF(VLOOKUP(Table1[[#This Row],[sheet]],Prg!$A$7:$J$31,10,FALSE)="","",VLOOKUP(Table1[[#This Row],[sheet]],Prg!$A$7:$J$31,10,FALSE)*1)</f>
        <v>1</v>
      </c>
      <c r="AF22" t="str">
        <f>VLOOKUP(Table1[[#This Row],[sheet]],Prg!$A$7:$J$31,5,FALSE)</f>
        <v>BELGIUM</v>
      </c>
      <c r="AG22">
        <f>ROW()</f>
        <v>22</v>
      </c>
      <c r="AI22">
        <v>15</v>
      </c>
      <c r="AJ22">
        <f>COUNTIF(Table1[sheet],Table3[[#This Row],[check]])</f>
        <v>180</v>
      </c>
    </row>
    <row r="23" spans="1:36" ht="15.75" thickBot="1" x14ac:dyDescent="0.3">
      <c r="A23" s="4" t="s">
        <v>771</v>
      </c>
      <c r="B23" s="244" t="str">
        <f>IF(lang=1,labels!E149,IF(lang=2,labels!F149,"set lang"))</f>
        <v>4.3 Personnel</v>
      </c>
      <c r="C23" s="304"/>
      <c r="D23" s="304"/>
      <c r="E23" s="304"/>
      <c r="F23" s="304"/>
      <c r="G23" s="304"/>
      <c r="H23" s="304"/>
      <c r="I23" s="304"/>
      <c r="J23" s="304"/>
      <c r="K23" s="304"/>
      <c r="L23" s="304"/>
      <c r="M23" s="304"/>
      <c r="N23" s="305"/>
      <c r="O23" s="207">
        <f ca="1">SUMIFS(Table1[amount],Table1[year],O$7,Table1[item],$A23)</f>
        <v>649775.35379651783</v>
      </c>
      <c r="P23" s="207">
        <f ca="1">SUMIFS(Table1[amount],Table1[year],P$7,Table1[item],$A23)</f>
        <v>569033.66742135701</v>
      </c>
      <c r="Q23" s="207">
        <f ca="1">SUMIFS(Table1[amount],Table1[year],Q$7,Table1[item],$A23)</f>
        <v>658860.56767356605</v>
      </c>
      <c r="R23" s="207">
        <f ca="1">SUMIFS(Table1[amount],Table1[year],R$7,Table1[item],$A23)</f>
        <v>717734.46670089499</v>
      </c>
      <c r="S23" s="207">
        <f ca="1">SUMIFS(Table1[amount],Table1[year],S$7,Table1[item],$A23)</f>
        <v>630089.1560349128</v>
      </c>
      <c r="T23" s="210">
        <f ca="1">SUMIFS(Table1[amount],Table1[year],T$7,Table1[item],$A23)</f>
        <v>3225493.2116272487</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436102.58146955504</v>
      </c>
      <c r="AE23">
        <f>IF(VLOOKUP(Table1[[#This Row],[sheet]],Prg!$A$7:$J$31,10,FALSE)="","",VLOOKUP(Table1[[#This Row],[sheet]],Prg!$A$7:$J$31,10,FALSE)*1)</f>
        <v>1</v>
      </c>
      <c r="AF23" t="str">
        <f>VLOOKUP(Table1[[#This Row],[sheet]],Prg!$A$7:$J$31,5,FALSE)</f>
        <v>BELGIUM</v>
      </c>
      <c r="AG23">
        <f>ROW()</f>
        <v>23</v>
      </c>
      <c r="AI23">
        <v>16</v>
      </c>
      <c r="AJ23">
        <f>COUNTIF(Table1[sheet],Table3[[#This Row],[check]])</f>
        <v>180</v>
      </c>
    </row>
    <row r="24" spans="1:36" ht="15.75" thickBot="1" x14ac:dyDescent="0.3">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609902.58146955504</v>
      </c>
      <c r="AE24">
        <f>IF(VLOOKUP(Table1[[#This Row],[sheet]],Prg!$A$7:$J$31,10,FALSE)="","",VLOOKUP(Table1[[#This Row],[sheet]],Prg!$A$7:$J$31,10,FALSE)*1)</f>
        <v>1</v>
      </c>
      <c r="AF24" t="str">
        <f>VLOOKUP(Table1[[#This Row],[sheet]],Prg!$A$7:$J$31,5,FALSE)</f>
        <v>BELGIUM</v>
      </c>
      <c r="AG24">
        <f>ROW()</f>
        <v>24</v>
      </c>
      <c r="AI24">
        <v>17</v>
      </c>
      <c r="AJ24">
        <f>COUNTIF(Table1[sheet],Table3[[#This Row],[check]])</f>
        <v>180</v>
      </c>
    </row>
    <row r="25" spans="1:36" x14ac:dyDescent="0.25">
      <c r="B25" s="306" t="str">
        <f>IF(lang=1,labels!E150,IF(lang=2,labels!F150,"set lang"))</f>
        <v>TOTAL DES COÛTS OPÉRATIONNELS</v>
      </c>
      <c r="C25" s="307"/>
      <c r="D25" s="307"/>
      <c r="E25" s="307"/>
      <c r="F25" s="307"/>
      <c r="G25" s="307"/>
      <c r="H25" s="307"/>
      <c r="I25" s="307"/>
      <c r="J25" s="307"/>
      <c r="K25" s="307"/>
      <c r="L25" s="307"/>
      <c r="M25" s="307"/>
      <c r="N25" s="308"/>
      <c r="O25" s="220">
        <v>2022</v>
      </c>
      <c r="P25" s="220">
        <v>2023</v>
      </c>
      <c r="Q25" s="220">
        <v>2024</v>
      </c>
      <c r="R25" s="220">
        <v>2025</v>
      </c>
      <c r="S25" s="220">
        <v>2026</v>
      </c>
      <c r="T25" s="205"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4800</v>
      </c>
      <c r="AE25">
        <f>IF(VLOOKUP(Table1[[#This Row],[sheet]],Prg!$A$7:$J$31,10,FALSE)="","",VLOOKUP(Table1[[#This Row],[sheet]],Prg!$A$7:$J$31,10,FALSE)*1)</f>
        <v>1</v>
      </c>
      <c r="AF25" t="str">
        <f>VLOOKUP(Table1[[#This Row],[sheet]],Prg!$A$7:$J$31,5,FALSE)</f>
        <v>BELGIUM</v>
      </c>
      <c r="AG25">
        <f>ROW()</f>
        <v>25</v>
      </c>
      <c r="AI25">
        <v>18</v>
      </c>
      <c r="AJ25">
        <f>COUNTIF(Table1[sheet],Table3[[#This Row],[check]])</f>
        <v>180</v>
      </c>
    </row>
    <row r="26" spans="1:36" x14ac:dyDescent="0.25">
      <c r="A26" s="4" t="s">
        <v>773</v>
      </c>
      <c r="B26" s="309" t="str">
        <f>IF(lang=1,labels!E152,IF(lang=2,labels!F152,"set lang"))</f>
        <v>A. Achat de véhicules</v>
      </c>
      <c r="C26" s="310"/>
      <c r="D26" s="310"/>
      <c r="E26" s="310"/>
      <c r="F26" s="310"/>
      <c r="G26" s="310"/>
      <c r="H26" s="310"/>
      <c r="I26" s="310"/>
      <c r="J26" s="310"/>
      <c r="K26" s="310"/>
      <c r="L26" s="310"/>
      <c r="M26" s="310"/>
      <c r="N26" s="311"/>
      <c r="O26" s="208">
        <f ca="1">SUMIFS(Table1[amount],Table1[year],O$7,Table1[item],$A26)</f>
        <v>6037156.9894085303</v>
      </c>
      <c r="P26" s="208">
        <f ca="1">SUMIFS(Table1[amount],Table1[year],P$7,Table1[item],$A26)</f>
        <v>6547754.8648520727</v>
      </c>
      <c r="Q26" s="208">
        <f ca="1">SUMIFS(Table1[amount],Table1[year],Q$7,Table1[item],$A26)</f>
        <v>6587729.6177898869</v>
      </c>
      <c r="R26" s="208">
        <f ca="1">SUMIFS(Table1[amount],Table1[year],R$7,Table1[item],$A26)</f>
        <v>6294461.1715653241</v>
      </c>
      <c r="S26" s="208">
        <f ca="1">SUMIFS(Table1[amount],Table1[year],S$7,Table1[item],$A26)</f>
        <v>6169967.7400798704</v>
      </c>
      <c r="T26" s="209">
        <f ca="1">SUMIFS(Table1[amount],Table1[year],T$7,Table1[item],$A26)</f>
        <v>31637070.383695684</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BELGIUM</v>
      </c>
      <c r="AG26">
        <f>ROW()</f>
        <v>26</v>
      </c>
      <c r="AI26">
        <v>19</v>
      </c>
      <c r="AJ26">
        <f>COUNTIF(Table1[sheet],Table3[[#This Row],[check]])</f>
        <v>180</v>
      </c>
    </row>
    <row r="27" spans="1:36" ht="15.75" x14ac:dyDescent="0.25">
      <c r="A27" s="4"/>
      <c r="B27" s="301" t="str">
        <f ca="1">IF(OR(O27&lt;&gt;0,P27&lt;&gt;0,Q27&lt;&gt;0,R27&lt;&gt;0,S27&lt;&gt;0,T27&lt;&gt;0),"Attention aux différences !","")</f>
        <v>Attention aux différences !</v>
      </c>
      <c r="C27" s="302"/>
      <c r="D27" s="302"/>
      <c r="E27" s="302"/>
      <c r="F27" s="302"/>
      <c r="G27" s="302"/>
      <c r="H27" s="302"/>
      <c r="I27" s="302"/>
      <c r="J27" s="302"/>
      <c r="K27" s="302"/>
      <c r="L27" s="302"/>
      <c r="M27" s="302"/>
      <c r="N27" s="303"/>
      <c r="O27" s="206">
        <f t="shared" ref="O27:S27" ca="1" si="1">O28-(O9+O13+O17+O21)</f>
        <v>9.9999999511055648E-3</v>
      </c>
      <c r="P27" s="206">
        <f t="shared" ca="1" si="1"/>
        <v>0.41000000000349246</v>
      </c>
      <c r="Q27" s="206">
        <f t="shared" ca="1" si="1"/>
        <v>0</v>
      </c>
      <c r="R27" s="206">
        <f t="shared" ca="1" si="1"/>
        <v>0</v>
      </c>
      <c r="S27" s="206">
        <f t="shared" ca="1" si="1"/>
        <v>0</v>
      </c>
      <c r="T27" s="210">
        <f ca="1">T28-(T9+T13+T17+T21)</f>
        <v>0.42000000004190952</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4800</v>
      </c>
      <c r="AE27">
        <f>IF(VLOOKUP(Table1[[#This Row],[sheet]],Prg!$A$7:$J$31,10,FALSE)="","",VLOOKUP(Table1[[#This Row],[sheet]],Prg!$A$7:$J$31,10,FALSE)*1)</f>
        <v>1</v>
      </c>
      <c r="AF27" t="str">
        <f>VLOOKUP(Table1[[#This Row],[sheet]],Prg!$A$7:$J$31,5,FALSE)</f>
        <v>BELGIUM</v>
      </c>
      <c r="AG27">
        <f>ROW()</f>
        <v>27</v>
      </c>
      <c r="AI27">
        <v>20</v>
      </c>
      <c r="AJ27">
        <f>COUNTIF(Table1[sheet],Table3[[#This Row],[check]])</f>
        <v>180</v>
      </c>
    </row>
    <row r="28" spans="1:36" x14ac:dyDescent="0.25">
      <c r="A28" s="4" t="s">
        <v>709</v>
      </c>
      <c r="B28" s="312" t="str">
        <f>IF(lang=1,labels!E151,IF(lang=2,labels!F151,"set lang"))</f>
        <v>TOTAL INVESTISSEMENTS</v>
      </c>
      <c r="C28" s="313"/>
      <c r="D28" s="313"/>
      <c r="E28" s="313"/>
      <c r="F28" s="313"/>
      <c r="G28" s="313"/>
      <c r="H28" s="313"/>
      <c r="I28" s="313"/>
      <c r="J28" s="313"/>
      <c r="K28" s="313"/>
      <c r="L28" s="313"/>
      <c r="M28" s="313"/>
      <c r="N28" s="314"/>
      <c r="O28" s="208">
        <f ca="1">SUMIFS(Table1[amount],Table1[year],O$7,Table1[item],$A28)</f>
        <v>397512.41211438313</v>
      </c>
      <c r="P28" s="208">
        <f ca="1">SUMIFS(Table1[amount],Table1[year],P$7,Table1[item],$A28)</f>
        <v>101047.60907406098</v>
      </c>
      <c r="Q28" s="208">
        <f ca="1">SUMIFS(Table1[amount],Table1[year],Q$7,Table1[item],$A28)</f>
        <v>52628.638436872665</v>
      </c>
      <c r="R28" s="208">
        <f ca="1">SUMIFS(Table1[amount],Table1[year],R$7,Table1[item],$A28)</f>
        <v>54358.834691747994</v>
      </c>
      <c r="S28" s="208">
        <f ca="1">SUMIFS(Table1[amount],Table1[year],S$7,Table1[item],$A28)</f>
        <v>40186.415196951995</v>
      </c>
      <c r="T28" s="209">
        <f ca="1">SUMIFS(Table1[amount],Table1[year],T$7,Table1[item],$A28)</f>
        <v>645733.90951401682</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0</v>
      </c>
      <c r="AE28">
        <f>IF(VLOOKUP(Table1[[#This Row],[sheet]],Prg!$A$7:$J$31,10,FALSE)="","",VLOOKUP(Table1[[#This Row],[sheet]],Prg!$A$7:$J$31,10,FALSE)*1)</f>
        <v>1</v>
      </c>
      <c r="AF28" t="str">
        <f>VLOOKUP(Table1[[#This Row],[sheet]],Prg!$A$7:$J$31,5,FALSE)</f>
        <v>BELGIUM</v>
      </c>
      <c r="AG28">
        <f>ROW()</f>
        <v>28</v>
      </c>
      <c r="AI28">
        <v>21</v>
      </c>
      <c r="AJ28">
        <f>COUNTIF(Table1[sheet],Table3[[#This Row],[check]])</f>
        <v>180</v>
      </c>
    </row>
    <row r="29" spans="1:36" x14ac:dyDescent="0.25">
      <c r="A29" s="4" t="s">
        <v>774</v>
      </c>
      <c r="B29" s="250" t="str">
        <f>IF(lang=1,labels!E152,IF(lang=2,labels!F152,"set lang"))</f>
        <v>A. Achat de véhicules</v>
      </c>
      <c r="C29" s="295"/>
      <c r="D29" s="295"/>
      <c r="E29" s="295"/>
      <c r="F29" s="295"/>
      <c r="G29" s="295"/>
      <c r="H29" s="295"/>
      <c r="I29" s="295"/>
      <c r="J29" s="295"/>
      <c r="K29" s="295"/>
      <c r="L29" s="295"/>
      <c r="M29" s="295"/>
      <c r="N29" s="296"/>
      <c r="O29" s="206">
        <f ca="1">SUMIFS(Table1[amount],Table1[year],O$7,Table1[item],$A29)</f>
        <v>141357.45495220416</v>
      </c>
      <c r="P29" s="206">
        <f ca="1">SUMIFS(Table1[amount],Table1[year],P$7,Table1[item],$A29)</f>
        <v>4812.1000000000004</v>
      </c>
      <c r="Q29" s="206">
        <f ca="1">SUMIFS(Table1[amount],Table1[year],Q$7,Table1[item],$A29)</f>
        <v>971.1</v>
      </c>
      <c r="R29" s="206">
        <f ca="1">SUMIFS(Table1[amount],Table1[year],R$7,Table1[item],$A29)</f>
        <v>0</v>
      </c>
      <c r="S29" s="206">
        <f ca="1">SUMIFS(Table1[amount],Table1[year],S$7,Table1[item],$A29)</f>
        <v>0</v>
      </c>
      <c r="T29" s="210">
        <f ca="1">SUMIFS(Table1[amount],Table1[year],T$7,Table1[item],$A29)</f>
        <v>147140.65495220418</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169000</v>
      </c>
      <c r="AE29">
        <f>IF(VLOOKUP(Table1[[#This Row],[sheet]],Prg!$A$7:$J$31,10,FALSE)="","",VLOOKUP(Table1[[#This Row],[sheet]],Prg!$A$7:$J$31,10,FALSE)*1)</f>
        <v>1</v>
      </c>
      <c r="AF29" t="str">
        <f>VLOOKUP(Table1[[#This Row],[sheet]],Prg!$A$7:$J$31,5,FALSE)</f>
        <v>BELGIUM</v>
      </c>
      <c r="AG29">
        <f>ROW()</f>
        <v>29</v>
      </c>
      <c r="AI29">
        <v>22</v>
      </c>
      <c r="AJ29">
        <f>COUNTIF(Table1[sheet],Table3[[#This Row],[check]])</f>
        <v>180</v>
      </c>
    </row>
    <row r="30" spans="1:36" x14ac:dyDescent="0.25">
      <c r="A30" s="4" t="s">
        <v>775</v>
      </c>
      <c r="B30" s="250" t="str">
        <f>IF(lang=1,labels!E153,IF(lang=2,labels!F153,"set lang"))</f>
        <v>B. Mobilier, ICT</v>
      </c>
      <c r="C30" s="295"/>
      <c r="D30" s="295"/>
      <c r="E30" s="295"/>
      <c r="F30" s="295"/>
      <c r="G30" s="295"/>
      <c r="H30" s="295"/>
      <c r="I30" s="295"/>
      <c r="J30" s="295"/>
      <c r="K30" s="295"/>
      <c r="L30" s="295"/>
      <c r="M30" s="295"/>
      <c r="N30" s="296"/>
      <c r="O30" s="206">
        <f ca="1">SUMIFS(Table1[amount],Table1[year],O$7,Table1[item],$A30)</f>
        <v>184436.70441651036</v>
      </c>
      <c r="P30" s="206">
        <f ca="1">SUMIFS(Table1[amount],Table1[year],P$7,Table1[item],$A30)</f>
        <v>26020.075899217754</v>
      </c>
      <c r="Q30" s="206">
        <f ca="1">SUMIFS(Table1[amount],Table1[year],Q$7,Table1[item],$A30)</f>
        <v>9044.2558992177546</v>
      </c>
      <c r="R30" s="206">
        <f ca="1">SUMIFS(Table1[amount],Table1[year],R$7,Table1[item],$A30)</f>
        <v>12389.052154093075</v>
      </c>
      <c r="S30" s="206">
        <f ca="1">SUMIFS(Table1[amount],Table1[year],S$7,Table1[item],$A30)</f>
        <v>5065.6841762018475</v>
      </c>
      <c r="T30" s="210">
        <f ca="1">SUMIFS(Table1[amount],Table1[year],T$7,Table1[item],$A30)</f>
        <v>236955.77254524079</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2000</v>
      </c>
      <c r="AE30">
        <f>IF(VLOOKUP(Table1[[#This Row],[sheet]],Prg!$A$7:$J$31,10,FALSE)="","",VLOOKUP(Table1[[#This Row],[sheet]],Prg!$A$7:$J$31,10,FALSE)*1)</f>
        <v>1</v>
      </c>
      <c r="AF30" t="str">
        <f>VLOOKUP(Table1[[#This Row],[sheet]],Prg!$A$7:$J$31,5,FALSE)</f>
        <v>BELGIUM</v>
      </c>
      <c r="AG30">
        <f>ROW()</f>
        <v>30</v>
      </c>
      <c r="AI30">
        <v>23</v>
      </c>
      <c r="AJ30">
        <f>COUNTIF(Table1[sheet],Table3[[#This Row],[check]])</f>
        <v>180</v>
      </c>
    </row>
    <row r="31" spans="1:36" x14ac:dyDescent="0.25">
      <c r="A31" s="4" t="s">
        <v>776</v>
      </c>
      <c r="B31" s="250" t="str">
        <f>IF(lang=1,labels!E154,IF(lang=2,labels!F154,"set lang"))</f>
        <v>C. Autres</v>
      </c>
      <c r="C31" s="295"/>
      <c r="D31" s="295"/>
      <c r="E31" s="295"/>
      <c r="F31" s="295"/>
      <c r="G31" s="295"/>
      <c r="H31" s="295"/>
      <c r="I31" s="295"/>
      <c r="J31" s="295"/>
      <c r="K31" s="295"/>
      <c r="L31" s="295"/>
      <c r="M31" s="295"/>
      <c r="N31" s="296"/>
      <c r="O31" s="206">
        <f ca="1">SUMIFS(Table1[amount],Table1[year],O$7,Table1[item],$A31)</f>
        <v>71718.252745668608</v>
      </c>
      <c r="P31" s="206">
        <f ca="1">SUMIFS(Table1[amount],Table1[year],P$7,Table1[item],$A31)</f>
        <v>70215.433174843216</v>
      </c>
      <c r="Q31" s="206">
        <f ca="1">SUMIFS(Table1[amount],Table1[year],Q$7,Table1[item],$A31)</f>
        <v>42613.282537654915</v>
      </c>
      <c r="R31" s="206">
        <f ca="1">SUMIFS(Table1[amount],Table1[year],R$7,Table1[item],$A31)</f>
        <v>41969.782537654915</v>
      </c>
      <c r="S31" s="206">
        <f ca="1">SUMIFS(Table1[amount],Table1[year],S$7,Table1[item],$A31)</f>
        <v>35120.731020750143</v>
      </c>
      <c r="T31" s="210">
        <f ca="1">SUMIFS(Table1[amount],Table1[year],T$7,Table1[item],$A31)</f>
        <v>261637.4820165718</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0</v>
      </c>
      <c r="AE31">
        <f>IF(VLOOKUP(Table1[[#This Row],[sheet]],Prg!$A$7:$J$31,10,FALSE)="","",VLOOKUP(Table1[[#This Row],[sheet]],Prg!$A$7:$J$31,10,FALSE)*1)</f>
        <v>1</v>
      </c>
      <c r="AF31" t="str">
        <f>VLOOKUP(Table1[[#This Row],[sheet]],Prg!$A$7:$J$31,5,FALSE)</f>
        <v>BELGIUM</v>
      </c>
      <c r="AG31">
        <f>ROW()</f>
        <v>31</v>
      </c>
      <c r="AI31">
        <v>24</v>
      </c>
      <c r="AJ31">
        <f>COUNTIF(Table1[sheet],Table3[[#This Row],[check]])</f>
        <v>180</v>
      </c>
    </row>
    <row r="32" spans="1:36" ht="15.75" x14ac:dyDescent="0.25">
      <c r="A32" s="4"/>
      <c r="B32" s="301" t="str">
        <f ca="1">IF(OR(ABS(O32)&gt;1,ABS(P32)&gt;1,ABS(Q32)&gt;1,ABS(R32)&gt;1,ABS(S32)&gt;1,ABS(T32)&gt;1),"Attention aux différences !","")</f>
        <v/>
      </c>
      <c r="C32" s="302"/>
      <c r="D32" s="302"/>
      <c r="E32" s="302"/>
      <c r="F32" s="302"/>
      <c r="G32" s="302"/>
      <c r="H32" s="302"/>
      <c r="I32" s="302"/>
      <c r="J32" s="302"/>
      <c r="K32" s="302"/>
      <c r="L32" s="302"/>
      <c r="M32" s="302"/>
      <c r="N32" s="303"/>
      <c r="O32" s="206">
        <f ca="1">O33-(O10+O14+O18+O22)</f>
        <v>1.0000000707805157E-2</v>
      </c>
      <c r="P32" s="206">
        <f t="shared" ref="P32:T32" ca="1" si="2">P33-(P10+P14+P18+P22)</f>
        <v>0.25999999977648258</v>
      </c>
      <c r="Q32" s="206">
        <f t="shared" ca="1" si="2"/>
        <v>-0.24000000022351742</v>
      </c>
      <c r="R32" s="206">
        <f t="shared" ca="1" si="2"/>
        <v>-9.9999993108212948E-3</v>
      </c>
      <c r="S32" s="206">
        <f t="shared" ca="1" si="2"/>
        <v>1.0000000242143869E-2</v>
      </c>
      <c r="T32" s="210">
        <f t="shared" ca="1" si="2"/>
        <v>3.0000001192092896E-2</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167000</v>
      </c>
      <c r="AE32">
        <f>IF(VLOOKUP(Table1[[#This Row],[sheet]],Prg!$A$7:$J$31,10,FALSE)="","",VLOOKUP(Table1[[#This Row],[sheet]],Prg!$A$7:$J$31,10,FALSE)*1)</f>
        <v>1</v>
      </c>
      <c r="AF32" t="str">
        <f>VLOOKUP(Table1[[#This Row],[sheet]],Prg!$A$7:$J$31,5,FALSE)</f>
        <v>BELGIUM</v>
      </c>
      <c r="AG32">
        <f>ROW()</f>
        <v>32</v>
      </c>
      <c r="AI32">
        <v>25</v>
      </c>
      <c r="AJ32">
        <f>COUNTIF(Table1[sheet],Table3[[#This Row],[check]])</f>
        <v>180</v>
      </c>
    </row>
    <row r="33" spans="1:37" x14ac:dyDescent="0.25">
      <c r="A33" s="4" t="s">
        <v>711</v>
      </c>
      <c r="B33" s="312" t="str">
        <f>IF(lang=1,labels!E155,IF(lang=2,labels!F155,"set lang"))</f>
        <v>TOTAL FONCTIONNEMENT</v>
      </c>
      <c r="C33" s="313"/>
      <c r="D33" s="313"/>
      <c r="E33" s="313"/>
      <c r="F33" s="313"/>
      <c r="G33" s="313"/>
      <c r="H33" s="313"/>
      <c r="I33" s="313"/>
      <c r="J33" s="313"/>
      <c r="K33" s="313"/>
      <c r="L33" s="313"/>
      <c r="M33" s="313"/>
      <c r="N33" s="314"/>
      <c r="O33" s="208">
        <f ca="1">SUMIFS(Table1[amount],Table1[year],O$7,Table1[item],$A33)</f>
        <v>3112415.2345454548</v>
      </c>
      <c r="P33" s="208">
        <f ca="1">SUMIFS(Table1[amount],Table1[year],P$7,Table1[item],$A33)</f>
        <v>3921247.8145454545</v>
      </c>
      <c r="Q33" s="208">
        <f ca="1">SUMIFS(Table1[amount],Table1[year],Q$7,Table1[item],$A33)</f>
        <v>3917865.3827272728</v>
      </c>
      <c r="R33" s="208">
        <f ca="1">SUMIFS(Table1[amount],Table1[year],R$7,Table1[item],$A33)</f>
        <v>3470439.4712205073</v>
      </c>
      <c r="S33" s="208">
        <f ca="1">SUMIFS(Table1[amount],Table1[year],S$7,Table1[item],$A33)</f>
        <v>3308479.1798958313</v>
      </c>
      <c r="T33" s="209">
        <f ca="1">SUMIFS(Table1[amount],Table1[year],T$7,Table1[item],$A33)</f>
        <v>17730447.082934521</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436102.58146955504</v>
      </c>
      <c r="AE33">
        <f>IF(VLOOKUP(Table1[[#This Row],[sheet]],Prg!$A$7:$J$31,10,FALSE)="","",VLOOKUP(Table1[[#This Row],[sheet]],Prg!$A$7:$J$31,10,FALSE)*1)</f>
        <v>1</v>
      </c>
      <c r="AF33" t="str">
        <f>VLOOKUP(Table1[[#This Row],[sheet]],Prg!$A$7:$J$31,5,FALSE)</f>
        <v>BELGIUM</v>
      </c>
      <c r="AG33">
        <f>ROW()</f>
        <v>33</v>
      </c>
    </row>
    <row r="34" spans="1:37" x14ac:dyDescent="0.25">
      <c r="A34" s="4" t="s">
        <v>777</v>
      </c>
      <c r="B34" s="250" t="str">
        <f>IF(lang=1,labels!E156,IF(lang=2,labels!F156,"set lang"))</f>
        <v>A. Déplacements</v>
      </c>
      <c r="C34" s="295"/>
      <c r="D34" s="295"/>
      <c r="E34" s="295"/>
      <c r="F34" s="295"/>
      <c r="G34" s="295"/>
      <c r="H34" s="295"/>
      <c r="I34" s="295"/>
      <c r="J34" s="295"/>
      <c r="K34" s="295"/>
      <c r="L34" s="295"/>
      <c r="M34" s="295"/>
      <c r="N34" s="296"/>
      <c r="O34" s="206">
        <f ca="1">SUMIFS(Table1[amount],Table1[year],O$7,Table1[item],$A34)</f>
        <v>139292.59</v>
      </c>
      <c r="P34" s="206">
        <f ca="1">SUMIFS(Table1[amount],Table1[year],P$7,Table1[item],$A34)</f>
        <v>166145.35999999999</v>
      </c>
      <c r="Q34" s="206">
        <f ca="1">SUMIFS(Table1[amount],Table1[year],Q$7,Table1[item],$A34)</f>
        <v>149031.46</v>
      </c>
      <c r="R34" s="206">
        <f ca="1">SUMIFS(Table1[amount],Table1[year],R$7,Table1[item],$A34)</f>
        <v>149904.34</v>
      </c>
      <c r="S34" s="206">
        <f ca="1">SUMIFS(Table1[amount],Table1[year],S$7,Table1[item],$A34)</f>
        <v>163229.66</v>
      </c>
      <c r="T34" s="210">
        <f ca="1">SUMIFS(Table1[amount],Table1[year],T$7,Table1[item],$A34)</f>
        <v>767603.40999999992</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436102.58146955504</v>
      </c>
      <c r="AE34">
        <f>IF(VLOOKUP(Table1[[#This Row],[sheet]],Prg!$A$7:$J$31,10,FALSE)="","",VLOOKUP(Table1[[#This Row],[sheet]],Prg!$A$7:$J$31,10,FALSE)*1)</f>
        <v>1</v>
      </c>
      <c r="AF34" t="str">
        <f>VLOOKUP(Table1[[#This Row],[sheet]],Prg!$A$7:$J$31,5,FALSE)</f>
        <v>BELGIUM</v>
      </c>
      <c r="AG34">
        <f>ROW()</f>
        <v>34</v>
      </c>
    </row>
    <row r="35" spans="1:37" x14ac:dyDescent="0.25">
      <c r="A35" s="4" t="s">
        <v>778</v>
      </c>
      <c r="B35" s="250" t="str">
        <f>IF(lang=1,labels!E157,IF(lang=2,labels!F157,"set lang"))</f>
        <v>B. Bureau local</v>
      </c>
      <c r="C35" s="295"/>
      <c r="D35" s="295"/>
      <c r="E35" s="295"/>
      <c r="F35" s="295"/>
      <c r="G35" s="295"/>
      <c r="H35" s="295"/>
      <c r="I35" s="295"/>
      <c r="J35" s="295"/>
      <c r="K35" s="295"/>
      <c r="L35" s="295"/>
      <c r="M35" s="295"/>
      <c r="N35" s="296"/>
      <c r="O35" s="206">
        <f ca="1">SUMIFS(Table1[amount],Table1[year],O$7,Table1[item],$A35)</f>
        <v>265058.84272727277</v>
      </c>
      <c r="P35" s="206">
        <f ca="1">SUMIFS(Table1[amount],Table1[year],P$7,Table1[item],$A35)</f>
        <v>286776.85272727272</v>
      </c>
      <c r="Q35" s="206">
        <f ca="1">SUMIFS(Table1[amount],Table1[year],Q$7,Table1[item],$A35)</f>
        <v>296641.86272727273</v>
      </c>
      <c r="R35" s="206">
        <f ca="1">SUMIFS(Table1[amount],Table1[year],R$7,Table1[item],$A35)</f>
        <v>297575.79272727272</v>
      </c>
      <c r="S35" s="206">
        <f ca="1">SUMIFS(Table1[amount],Table1[year],S$7,Table1[item],$A35)</f>
        <v>316006.65272727271</v>
      </c>
      <c r="T35" s="210">
        <f ca="1">SUMIFS(Table1[amount],Table1[year],T$7,Table1[item],$A35)</f>
        <v>1462060.0036363639</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BELGIUM</v>
      </c>
      <c r="AG35">
        <f>ROW()</f>
        <v>35</v>
      </c>
      <c r="AI35">
        <v>15</v>
      </c>
      <c r="AJ35">
        <v>2022</v>
      </c>
      <c r="AK35">
        <v>15</v>
      </c>
    </row>
    <row r="36" spans="1:37" x14ac:dyDescent="0.25">
      <c r="A36" s="4" t="s">
        <v>779</v>
      </c>
      <c r="B36" s="250" t="str">
        <f>IF(lang=1,labels!E158,IF(lang=2,labels!F158,"set lang"))</f>
        <v>C. Autres</v>
      </c>
      <c r="C36" s="295"/>
      <c r="D36" s="295"/>
      <c r="E36" s="295"/>
      <c r="F36" s="295"/>
      <c r="G36" s="295"/>
      <c r="H36" s="295"/>
      <c r="I36" s="295"/>
      <c r="J36" s="295"/>
      <c r="K36" s="295"/>
      <c r="L36" s="295"/>
      <c r="M36" s="295"/>
      <c r="N36" s="296"/>
      <c r="O36" s="206">
        <f ca="1">SUMIFS(Table1[amount],Table1[year],O$7,Table1[item],$A36)</f>
        <v>2708063.8018181818</v>
      </c>
      <c r="P36" s="206">
        <f ca="1">SUMIFS(Table1[amount],Table1[year],P$7,Table1[item],$A36)</f>
        <v>3468325.6018181816</v>
      </c>
      <c r="Q36" s="206">
        <f ca="1">SUMIFS(Table1[amount],Table1[year],Q$7,Table1[item],$A36)</f>
        <v>3472192.06</v>
      </c>
      <c r="R36" s="206">
        <f ca="1">SUMIFS(Table1[amount],Table1[year],R$7,Table1[item],$A36)</f>
        <v>3022959.3384932345</v>
      </c>
      <c r="S36" s="206">
        <f ca="1">SUMIFS(Table1[amount],Table1[year],S$7,Table1[item],$A36)</f>
        <v>2829242.8671685578</v>
      </c>
      <c r="T36" s="210">
        <f ca="1">SUMIFS(Table1[amount],Table1[year],T$7,Table1[item],$A36)</f>
        <v>15500783.669298157</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0</v>
      </c>
      <c r="AE36">
        <f>IF(VLOOKUP(Table1[[#This Row],[sheet]],Prg!$A$7:$J$31,10,FALSE)="","",VLOOKUP(Table1[[#This Row],[sheet]],Prg!$A$7:$J$31,10,FALSE)*1)</f>
        <v>1</v>
      </c>
      <c r="AF36" t="str">
        <f>VLOOKUP(Table1[[#This Row],[sheet]],Prg!$A$7:$J$31,5,FALSE)</f>
        <v>BELGIUM</v>
      </c>
      <c r="AG36">
        <f>ROW()</f>
        <v>36</v>
      </c>
      <c r="AI36">
        <v>16</v>
      </c>
      <c r="AJ36">
        <v>2023</v>
      </c>
      <c r="AK36">
        <v>16</v>
      </c>
    </row>
    <row r="37" spans="1:37" ht="15.75" x14ac:dyDescent="0.25">
      <c r="A37" s="4"/>
      <c r="B37" s="301" t="str">
        <f ca="1">IF(OR(ABS(O37)&gt;1,ABS(P37)&gt;1,ABS(Q37)&gt;1,ABS(R37)&gt;1,ABS(S37)&gt;1,ABS(T37)&gt;1),"Attention aux différences !","")</f>
        <v>Attention aux différences !</v>
      </c>
      <c r="C37" s="302"/>
      <c r="D37" s="302"/>
      <c r="E37" s="302"/>
      <c r="F37" s="302"/>
      <c r="G37" s="302"/>
      <c r="H37" s="302"/>
      <c r="I37" s="302"/>
      <c r="J37" s="302"/>
      <c r="K37" s="302"/>
      <c r="L37" s="302"/>
      <c r="M37" s="302"/>
      <c r="N37" s="303"/>
      <c r="O37" s="206">
        <f ca="1">O38-(O11+O15+O19+O23)</f>
        <v>0</v>
      </c>
      <c r="P37" s="206">
        <f t="shared" ref="P37:T37" ca="1" si="3">P38-(P11+P15+P19+P23)</f>
        <v>-0.33618880016729236</v>
      </c>
      <c r="Q37" s="206">
        <f t="shared" ca="1" si="3"/>
        <v>1.1400000001303852</v>
      </c>
      <c r="R37" s="206">
        <f t="shared" ca="1" si="3"/>
        <v>0</v>
      </c>
      <c r="S37" s="206">
        <f t="shared" ca="1" si="3"/>
        <v>0</v>
      </c>
      <c r="T37" s="210">
        <f t="shared" ca="1" si="3"/>
        <v>0.8038111999630928</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BELGIUM</v>
      </c>
      <c r="AG37">
        <f>ROW()</f>
        <v>37</v>
      </c>
      <c r="AI37">
        <v>17</v>
      </c>
      <c r="AJ37">
        <v>2024</v>
      </c>
      <c r="AK37">
        <v>17</v>
      </c>
    </row>
    <row r="38" spans="1:37" x14ac:dyDescent="0.25">
      <c r="A38" s="4" t="s">
        <v>712</v>
      </c>
      <c r="B38" s="312" t="str">
        <f>IF(lang=1,labels!E159,IF(lang=2,labels!F159,"set lang"))</f>
        <v>TOTAL PERSONNEL</v>
      </c>
      <c r="C38" s="313"/>
      <c r="D38" s="313"/>
      <c r="E38" s="313"/>
      <c r="F38" s="313"/>
      <c r="G38" s="313"/>
      <c r="H38" s="313"/>
      <c r="I38" s="313"/>
      <c r="J38" s="313"/>
      <c r="K38" s="313"/>
      <c r="L38" s="313"/>
      <c r="M38" s="313"/>
      <c r="N38" s="314"/>
      <c r="O38" s="208">
        <f ca="1">SUMIFS(Table1[amount],Table1[year],O$7,Table1[item],$A38)</f>
        <v>2527229.3427486927</v>
      </c>
      <c r="P38" s="208">
        <f ca="1">SUMIFS(Table1[amount],Table1[year],P$7,Table1[item],$A38)</f>
        <v>2525459.4412325569</v>
      </c>
      <c r="Q38" s="208">
        <f ca="1">SUMIFS(Table1[amount],Table1[year],Q$7,Table1[item],$A38)</f>
        <v>2617235.5966257411</v>
      </c>
      <c r="R38" s="208">
        <f ca="1">SUMIFS(Table1[amount],Table1[year],R$7,Table1[item],$A38)</f>
        <v>2769662.8656530697</v>
      </c>
      <c r="S38" s="208">
        <f ca="1">SUMIFS(Table1[amount],Table1[year],S$7,Table1[item],$A38)</f>
        <v>2821302.1449870877</v>
      </c>
      <c r="T38" s="209">
        <f ca="1">SUMIFS(Table1[amount],Table1[year],T$7,Table1[item],$A38)</f>
        <v>13260889.391247148</v>
      </c>
      <c r="U38" s="5"/>
      <c r="X38">
        <v>1</v>
      </c>
      <c r="Y38" s="53" t="s">
        <v>753</v>
      </c>
      <c r="Z38" s="53" t="s">
        <v>162</v>
      </c>
      <c r="AA38" s="53" t="str">
        <f>IF(OR(VLOOKUP(Table1[[#This Row],[sheet]],Prg!$A$7:$F$31,6,FALSE)=Prg!$O$2,VLOOKUP(Table1[[#This Row],[sheet]],Prg!$A$7:$F$31,6,FALSE)=Prg!$O$3),"Yes","No")</f>
        <v>Yes</v>
      </c>
      <c r="AB38" s="53">
        <v>2023</v>
      </c>
      <c r="AC38">
        <v>16</v>
      </c>
      <c r="AD38">
        <f ca="1">IF(ISERROR(VLOOKUP(Table1[[#This Row],[item]],INDIRECT("'"&amp;Table1[[#This Row],[sheet]]&amp;"'!$A$8:$T$42"),Table1[[#This Row],[r]],FALSE)),"",VLOOKUP(Table1[[#This Row],[item]],INDIRECT("'"&amp;Table1[[#This Row],[sheet]]&amp;"'!$A$8:$T$42"),Table1[[#This Row],[r]],FALSE))</f>
        <v>0</v>
      </c>
      <c r="AE38">
        <f>IF(VLOOKUP(Table1[[#This Row],[sheet]],Prg!$A$7:$J$31,10,FALSE)="","",VLOOKUP(Table1[[#This Row],[sheet]],Prg!$A$7:$J$31,10,FALSE)*1)</f>
        <v>1</v>
      </c>
      <c r="AF38" t="str">
        <f>VLOOKUP(Table1[[#This Row],[sheet]],Prg!$A$7:$J$31,5,FALSE)</f>
        <v>BELGIUM</v>
      </c>
      <c r="AG38">
        <f>ROW()</f>
        <v>38</v>
      </c>
      <c r="AI38">
        <v>18</v>
      </c>
      <c r="AJ38">
        <v>2025</v>
      </c>
      <c r="AK38">
        <v>18</v>
      </c>
    </row>
    <row r="39" spans="1:37" x14ac:dyDescent="0.25">
      <c r="A39" s="4" t="s">
        <v>781</v>
      </c>
      <c r="B39" s="250" t="str">
        <f>IF(lang=1,labels!E160,IF(lang=2,labels!F160,"set lang"))</f>
        <v>A. Salaires au siège</v>
      </c>
      <c r="C39" s="295"/>
      <c r="D39" s="295"/>
      <c r="E39" s="295"/>
      <c r="F39" s="295"/>
      <c r="G39" s="295"/>
      <c r="H39" s="295"/>
      <c r="I39" s="295"/>
      <c r="J39" s="295"/>
      <c r="K39" s="295"/>
      <c r="L39" s="295"/>
      <c r="M39" s="295"/>
      <c r="N39" s="296"/>
      <c r="O39" s="206">
        <f ca="1">SUMIFS(Table1[amount],Table1[year],O$7,Table1[item],$A39)</f>
        <v>655775.35379651806</v>
      </c>
      <c r="P39" s="206">
        <f ca="1">SUMIFS(Table1[amount],Table1[year],P$7,Table1[item],$A39)</f>
        <v>575633.66742135701</v>
      </c>
      <c r="Q39" s="206">
        <f ca="1">SUMIFS(Table1[amount],Table1[year],Q$7,Table1[item],$A39)</f>
        <v>665460.56767356605</v>
      </c>
      <c r="R39" s="206">
        <f ca="1">SUMIFS(Table1[amount],Table1[year],R$7,Table1[item],$A39)</f>
        <v>723734.46670089499</v>
      </c>
      <c r="S39" s="206">
        <f ca="1">SUMIFS(Table1[amount],Table1[year],S$7,Table1[item],$A39)</f>
        <v>636089.15603491245</v>
      </c>
      <c r="T39" s="210">
        <f ca="1">SUMIFS(Table1[amount],Table1[year],T$7,Table1[item],$A39)</f>
        <v>3256693.2116272487</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0</v>
      </c>
      <c r="AE39">
        <f>IF(VLOOKUP(Table1[[#This Row],[sheet]],Prg!$A$7:$J$31,10,FALSE)="","",VLOOKUP(Table1[[#This Row],[sheet]],Prg!$A$7:$J$31,10,FALSE)*1)</f>
        <v>1</v>
      </c>
      <c r="AF39" t="str">
        <f>VLOOKUP(Table1[[#This Row],[sheet]],Prg!$A$7:$J$31,5,FALSE)</f>
        <v>BELGIUM</v>
      </c>
      <c r="AG39">
        <f>ROW()</f>
        <v>39</v>
      </c>
      <c r="AI39">
        <v>19</v>
      </c>
      <c r="AJ39">
        <v>2026</v>
      </c>
      <c r="AK39">
        <v>19</v>
      </c>
    </row>
    <row r="40" spans="1:37" x14ac:dyDescent="0.25">
      <c r="A40" s="4" t="s">
        <v>783</v>
      </c>
      <c r="B40" s="250" t="str">
        <f>IF(lang=1,labels!E161,IF(lang=2,labels!F161,"set lang"))</f>
        <v>B. Salaires des expatriés</v>
      </c>
      <c r="C40" s="295"/>
      <c r="D40" s="295"/>
      <c r="E40" s="295"/>
      <c r="F40" s="295"/>
      <c r="G40" s="295"/>
      <c r="H40" s="295"/>
      <c r="I40" s="295"/>
      <c r="J40" s="295"/>
      <c r="K40" s="295"/>
      <c r="L40" s="295"/>
      <c r="M40" s="295"/>
      <c r="N40" s="296"/>
      <c r="O40" s="206">
        <f ca="1">SUMIFS(Table1[amount],Table1[year],O$7,Table1[item],$A40)</f>
        <v>40550.35</v>
      </c>
      <c r="P40" s="206">
        <f ca="1">SUMIFS(Table1[amount],Table1[year],P$7,Table1[item],$A40)</f>
        <v>41230.75</v>
      </c>
      <c r="Q40" s="206">
        <f ca="1">SUMIFS(Table1[amount],Table1[year],Q$7,Table1[item],$A40)</f>
        <v>41945.17</v>
      </c>
      <c r="R40" s="206">
        <f ca="1">SUMIFS(Table1[amount],Table1[year],R$7,Table1[item],$A40)</f>
        <v>42695.31</v>
      </c>
      <c r="S40" s="206">
        <f ca="1">SUMIFS(Table1[amount],Table1[year],S$7,Table1[item],$A40)</f>
        <v>43482.96</v>
      </c>
      <c r="T40" s="210">
        <f ca="1">SUMIFS(Table1[amount],Table1[year],T$7,Table1[item],$A40)</f>
        <v>209904.53999999998</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0</v>
      </c>
      <c r="AE40">
        <f>IF(VLOOKUP(Table1[[#This Row],[sheet]],Prg!$A$7:$J$31,10,FALSE)="","",VLOOKUP(Table1[[#This Row],[sheet]],Prg!$A$7:$J$31,10,FALSE)*1)</f>
        <v>1</v>
      </c>
      <c r="AF40" t="str">
        <f>VLOOKUP(Table1[[#This Row],[sheet]],Prg!$A$7:$J$31,5,FALSE)</f>
        <v>BELGIUM</v>
      </c>
      <c r="AG40">
        <f>ROW()</f>
        <v>40</v>
      </c>
      <c r="AI40">
        <v>20</v>
      </c>
      <c r="AJ40" t="s">
        <v>78</v>
      </c>
      <c r="AK40">
        <v>20</v>
      </c>
    </row>
    <row r="41" spans="1:37" x14ac:dyDescent="0.25">
      <c r="A41" s="4" t="s">
        <v>785</v>
      </c>
      <c r="B41" s="250" t="str">
        <f>IF(lang=1,labels!E162,IF(lang=2,labels!F162,"set lang"))</f>
        <v>C. Salaires du personnel local</v>
      </c>
      <c r="C41" s="295"/>
      <c r="D41" s="295"/>
      <c r="E41" s="295"/>
      <c r="F41" s="295"/>
      <c r="G41" s="295"/>
      <c r="H41" s="295"/>
      <c r="I41" s="295"/>
      <c r="J41" s="295"/>
      <c r="K41" s="295"/>
      <c r="L41" s="295"/>
      <c r="M41" s="295"/>
      <c r="N41" s="296"/>
      <c r="O41" s="206">
        <f ca="1">SUMIFS(Table1[amount],Table1[year],O$7,Table1[item],$A41)</f>
        <v>1829087.2389521748</v>
      </c>
      <c r="P41" s="206">
        <f ca="1">SUMIFS(Table1[amount],Table1[year],P$7,Table1[item],$A41)</f>
        <v>1906528.6238111998</v>
      </c>
      <c r="Q41" s="206">
        <f ca="1">SUMIFS(Table1[amount],Table1[year],Q$7,Table1[item],$A41)</f>
        <v>1907713.458952175</v>
      </c>
      <c r="R41" s="206">
        <f ca="1">SUMIFS(Table1[amount],Table1[year],R$7,Table1[item],$A41)</f>
        <v>2001116.688952175</v>
      </c>
      <c r="S41" s="206">
        <f ca="1">SUMIFS(Table1[amount],Table1[year],S$7,Table1[item],$A41)</f>
        <v>2139613.6289521749</v>
      </c>
      <c r="T41" s="210">
        <f ca="1">SUMIFS(Table1[amount],Table1[year],T$7,Table1[item],$A41)</f>
        <v>9784059.6396198999</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0</v>
      </c>
      <c r="AE41">
        <f>IF(VLOOKUP(Table1[[#This Row],[sheet]],Prg!$A$7:$J$31,10,FALSE)="","",VLOOKUP(Table1[[#This Row],[sheet]],Prg!$A$7:$J$31,10,FALSE)*1)</f>
        <v>1</v>
      </c>
      <c r="AF41" t="str">
        <f>VLOOKUP(Table1[[#This Row],[sheet]],Prg!$A$7:$J$31,5,FALSE)</f>
        <v>BELGIUM</v>
      </c>
      <c r="AG41">
        <f>ROW()</f>
        <v>41</v>
      </c>
    </row>
    <row r="42" spans="1:37" ht="15.75" thickBot="1" x14ac:dyDescent="0.3">
      <c r="A42" s="4" t="s">
        <v>787</v>
      </c>
      <c r="B42" s="244" t="str">
        <f>IF(lang=1,labels!E163,IF(lang=2,labels!F163,"set lang"))</f>
        <v>D. Autres frais</v>
      </c>
      <c r="C42" s="304"/>
      <c r="D42" s="304"/>
      <c r="E42" s="304"/>
      <c r="F42" s="304"/>
      <c r="G42" s="304"/>
      <c r="H42" s="304"/>
      <c r="I42" s="304"/>
      <c r="J42" s="304"/>
      <c r="K42" s="304"/>
      <c r="L42" s="304"/>
      <c r="M42" s="304"/>
      <c r="N42" s="305"/>
      <c r="O42" s="207">
        <f ca="1">SUMIFS(Table1[amount],Table1[year],O$7,Table1[item],$A42)</f>
        <v>1816.4</v>
      </c>
      <c r="P42" s="207">
        <f ca="1">SUMIFS(Table1[amount],Table1[year],P$7,Table1[item],$A42)</f>
        <v>2066.4</v>
      </c>
      <c r="Q42" s="207">
        <f ca="1">SUMIFS(Table1[amount],Table1[year],Q$7,Table1[item],$A42)</f>
        <v>2116.4</v>
      </c>
      <c r="R42" s="207">
        <f ca="1">SUMIFS(Table1[amount],Table1[year],R$7,Table1[item],$A42)</f>
        <v>2116.4</v>
      </c>
      <c r="S42" s="207">
        <f ca="1">SUMIFS(Table1[amount],Table1[year],S$7,Table1[item],$A42)</f>
        <v>2116.4</v>
      </c>
      <c r="T42" s="210">
        <f ca="1">SUMIFS(Table1[amount],Table1[year],T$7,Table1[item],$A42)</f>
        <v>10232</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BELGIUM</v>
      </c>
      <c r="AG42">
        <f>ROW()</f>
        <v>42</v>
      </c>
    </row>
    <row r="43" spans="1:37" x14ac:dyDescent="0.25">
      <c r="A43" s="4"/>
      <c r="B43" s="8"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4"/>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BELGIUM</v>
      </c>
      <c r="AG43">
        <f>ROW()</f>
        <v>43</v>
      </c>
    </row>
    <row r="44" spans="1:37" x14ac:dyDescent="0.25">
      <c r="A44" s="4"/>
      <c r="B44" s="6"/>
      <c r="C44" s="6"/>
      <c r="D44" s="6"/>
      <c r="E44" s="6"/>
      <c r="F44" s="6"/>
      <c r="G44" s="6"/>
      <c r="H44" s="6"/>
      <c r="I44" s="6"/>
      <c r="J44" s="6"/>
      <c r="K44" s="6"/>
      <c r="L44" s="6"/>
      <c r="M44" s="6"/>
      <c r="N44" s="6"/>
      <c r="O44" s="6"/>
      <c r="P44" s="6"/>
      <c r="Q44" s="6"/>
      <c r="R44" s="6"/>
      <c r="S44" s="6"/>
      <c r="T44" s="6"/>
      <c r="U44" s="14"/>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BELGIUM</v>
      </c>
      <c r="AG44">
        <f>ROW()</f>
        <v>44</v>
      </c>
    </row>
    <row r="45" spans="1:37" hidden="1" x14ac:dyDescent="0.25">
      <c r="A45" s="4"/>
      <c r="B45" s="306" t="str">
        <f>IF(lang=1,labels!E165,IF(lang=2,labels!F165,"set lang"))</f>
        <v>TOTAL DES COÛTS OPÉRATIONNELS PAR PAYS</v>
      </c>
      <c r="C45" s="307"/>
      <c r="D45" s="307"/>
      <c r="E45" s="307"/>
      <c r="F45" s="307"/>
      <c r="G45" s="307"/>
      <c r="H45" s="307"/>
      <c r="I45" s="307"/>
      <c r="J45" s="307"/>
      <c r="K45" s="307"/>
      <c r="L45" s="307"/>
      <c r="M45" s="307"/>
      <c r="N45" s="307"/>
      <c r="O45" s="140">
        <v>2022</v>
      </c>
      <c r="P45" s="220">
        <v>2023</v>
      </c>
      <c r="Q45" s="220">
        <v>2024</v>
      </c>
      <c r="R45" s="220">
        <v>2025</v>
      </c>
      <c r="S45" s="220">
        <v>2026</v>
      </c>
      <c r="T45" s="130"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BELGIUM</v>
      </c>
      <c r="AG45">
        <f>ROW()</f>
        <v>45</v>
      </c>
    </row>
    <row r="46" spans="1:37" hidden="1" x14ac:dyDescent="0.25">
      <c r="A46" s="4"/>
      <c r="B46" s="309" t="str">
        <f>IF(lang=1,labels!E167,IF(lang=2,labels!F167,"set lang"))</f>
        <v>NOM DU PAYS 1</v>
      </c>
      <c r="C46" s="310"/>
      <c r="D46" s="310"/>
      <c r="E46" s="310"/>
      <c r="F46" s="310"/>
      <c r="G46" s="310"/>
      <c r="H46" s="310"/>
      <c r="I46" s="310"/>
      <c r="J46" s="310"/>
      <c r="K46" s="310"/>
      <c r="L46" s="310"/>
      <c r="M46" s="310"/>
      <c r="N46" s="310"/>
      <c r="O46" s="168">
        <f ca="1">SUM(O48:O53)</f>
        <v>5562102.1248630751</v>
      </c>
      <c r="P46" s="153">
        <f t="shared" ref="P46:T46" ca="1" si="4">SUM(P48:P53)</f>
        <v>6084987.0803066185</v>
      </c>
      <c r="Q46" s="153">
        <f t="shared" ca="1" si="4"/>
        <v>6195513.6750626136</v>
      </c>
      <c r="R46" s="153">
        <f t="shared" ca="1" si="4"/>
        <v>5807688.1788380509</v>
      </c>
      <c r="S46" s="153">
        <f t="shared" ca="1" si="4"/>
        <v>5746705.2755344156</v>
      </c>
      <c r="T46" s="169">
        <f t="shared" ca="1" si="4"/>
        <v>29396996.33460477</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0</v>
      </c>
      <c r="AE46">
        <f>IF(VLOOKUP(Table1[[#This Row],[sheet]],Prg!$A$7:$J$31,10,FALSE)="","",VLOOKUP(Table1[[#This Row],[sheet]],Prg!$A$7:$J$31,10,FALSE)*1)</f>
        <v>1</v>
      </c>
      <c r="AF46" t="str">
        <f>VLOOKUP(Table1[[#This Row],[sheet]],Prg!$A$7:$J$31,5,FALSE)</f>
        <v>BELGIUM</v>
      </c>
      <c r="AG46">
        <f>ROW()</f>
        <v>46</v>
      </c>
    </row>
    <row r="47" spans="1:37" ht="15.75" hidden="1" x14ac:dyDescent="0.25">
      <c r="A47" s="4"/>
      <c r="B47" s="301" t="str">
        <f ca="1">IF(OR(O47&lt;&gt;0,P47&lt;&gt;0,Q47&lt;&gt;0,R47&lt;&gt;0,S47&lt;&gt;0,T47&lt;&gt;0),"Attention aux différences !","")</f>
        <v/>
      </c>
      <c r="C47" s="302"/>
      <c r="D47" s="302"/>
      <c r="E47" s="302"/>
      <c r="F47" s="302"/>
      <c r="G47" s="302"/>
      <c r="H47" s="302"/>
      <c r="I47" s="302"/>
      <c r="J47" s="302"/>
      <c r="K47" s="302"/>
      <c r="L47" s="302"/>
      <c r="M47" s="302"/>
      <c r="N47" s="302"/>
      <c r="O47" s="170">
        <f ca="1">O46-SUM(O48:O53)</f>
        <v>0</v>
      </c>
      <c r="P47" s="165">
        <f t="shared" ref="P47:T47" ca="1" si="5">P46-SUM(P48:P53)</f>
        <v>0</v>
      </c>
      <c r="Q47" s="165">
        <f t="shared" ca="1" si="5"/>
        <v>0</v>
      </c>
      <c r="R47" s="165">
        <f t="shared" ca="1" si="5"/>
        <v>0</v>
      </c>
      <c r="S47" s="165">
        <f t="shared" ca="1" si="5"/>
        <v>0</v>
      </c>
      <c r="T47" s="171">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BELGIUM</v>
      </c>
      <c r="AG47">
        <f>ROW()</f>
        <v>47</v>
      </c>
    </row>
    <row r="48" spans="1:37" hidden="1" x14ac:dyDescent="0.25">
      <c r="A48" s="4"/>
      <c r="B48" s="315" t="str">
        <f>IF(lang=1,labels!E166,IF(lang=2,labels!F166,"set lang"))</f>
        <v>ACTIVITÉS SUPRANATIONALES</v>
      </c>
      <c r="C48" s="316"/>
      <c r="D48" s="316"/>
      <c r="E48" s="316"/>
      <c r="F48" s="316"/>
      <c r="G48" s="316"/>
      <c r="H48" s="316"/>
      <c r="I48" s="316"/>
      <c r="J48" s="316"/>
      <c r="K48" s="316"/>
      <c r="L48" s="316"/>
      <c r="M48" s="316"/>
      <c r="N48" s="316"/>
      <c r="O48" s="172">
        <f ca="1">SUMIFS(Table1[amount],Table1[year],O$7,Table1[ctry],2,Table1[item],"TCO")</f>
        <v>1970079.88</v>
      </c>
      <c r="P48" s="173">
        <f ca="1">SUMIFS(Table1[amount],Table1[year],P$7,Table1[ctry],2,Table1[item],"TCO")</f>
        <v>2173119.77</v>
      </c>
      <c r="Q48" s="173">
        <f ca="1">SUMIFS(Table1[amount],Table1[year],Q$7,Table1[ctry],2,Table1[item],"TCO")</f>
        <v>2484496.4500000002</v>
      </c>
      <c r="R48" s="173">
        <f ca="1">SUMIFS(Table1[amount],Table1[year],R$7,Table1[ctry],2,Table1[item],"TCO")</f>
        <v>2419230.46</v>
      </c>
      <c r="S48" s="173">
        <f ca="1">SUMIFS(Table1[amount],Table1[year],S$7,Table1[ctry],2,Table1[item],"TCO")</f>
        <v>2468292.7999999998</v>
      </c>
      <c r="T48" s="174">
        <f ca="1">SUM(O48:S48)</f>
        <v>11515219.359999999</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0</v>
      </c>
      <c r="AE48">
        <f>IF(VLOOKUP(Table1[[#This Row],[sheet]],Prg!$A$7:$J$31,10,FALSE)="","",VLOOKUP(Table1[[#This Row],[sheet]],Prg!$A$7:$J$31,10,FALSE)*1)</f>
        <v>1</v>
      </c>
      <c r="AF48" t="str">
        <f>VLOOKUP(Table1[[#This Row],[sheet]],Prg!$A$7:$J$31,5,FALSE)</f>
        <v>BELGIUM</v>
      </c>
      <c r="AG48">
        <f>ROW()</f>
        <v>48</v>
      </c>
    </row>
    <row r="49" spans="1:33" hidden="1" x14ac:dyDescent="0.25">
      <c r="A49" s="4"/>
      <c r="B49" s="224" t="str">
        <f>IF(ISERROR(VLOOKUP(1,$AE$8:$AF$4507,2,FALSE)),"",VLOOKUP(1,$AE$8:$AF$4507,2,FALSE))</f>
        <v>BELGIUM</v>
      </c>
      <c r="C49" s="38"/>
      <c r="D49" s="38"/>
      <c r="E49" s="38"/>
      <c r="F49" s="38"/>
      <c r="G49" s="38"/>
      <c r="H49" s="38"/>
      <c r="I49" s="112" t="str">
        <f>IF(ISERROR(VLOOKUP(1,$AE$8:$AF$4507,2,FALSE)),"",VLOOKUP(1,$AE$8:$AF$4507,2,FALSE))</f>
        <v>BELGIUM</v>
      </c>
      <c r="J49" s="138"/>
      <c r="K49" s="138"/>
      <c r="L49" s="138"/>
      <c r="M49" s="138"/>
      <c r="N49" s="138"/>
      <c r="O49" s="175">
        <f ca="1">SUMIFS(Table1[amount],Table1[year],O$7,Table1[ctry2],$I49,Table1[item],"TCO")</f>
        <v>965075.35379651806</v>
      </c>
      <c r="P49" s="165">
        <f ca="1">SUMIFS(Table1[amount],Table1[year],P$7,Table1[ctry2],$I49,Table1[item],"TCO")</f>
        <v>877280.29742135701</v>
      </c>
      <c r="Q49" s="165">
        <f ca="1">SUMIFS(Table1[amount],Table1[year],Q$7,Table1[ctry2],$I49,Table1[item],"TCO")</f>
        <v>962260.56767356594</v>
      </c>
      <c r="R49" s="165">
        <f ca="1">SUMIFS(Table1[amount],Table1[year],R$7,Table1[ctry2],$I49,Table1[item],"TCO")</f>
        <v>1007934.466700895</v>
      </c>
      <c r="S49" s="165">
        <f ca="1">SUMIFS(Table1[amount],Table1[year],S$7,Table1[ctry2],$I49,Table1[item],"TCO")</f>
        <v>920289.15603491245</v>
      </c>
      <c r="T49" s="171">
        <f t="shared" ref="T49:T53" ca="1" si="6">SUM(O49:S49)</f>
        <v>4732839.8416272476</v>
      </c>
      <c r="U49" s="5"/>
      <c r="V49">
        <f>IF(B49="","",_xlfn.MAXIFS(Table1[row],Table1[ctry2],B49)+1)</f>
        <v>368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0</v>
      </c>
      <c r="AE49">
        <f>IF(VLOOKUP(Table1[[#This Row],[sheet]],Prg!$A$7:$J$31,10,FALSE)="","",VLOOKUP(Table1[[#This Row],[sheet]],Prg!$A$7:$J$31,10,FALSE)*1)</f>
        <v>1</v>
      </c>
      <c r="AF49" t="str">
        <f>VLOOKUP(Table1[[#This Row],[sheet]],Prg!$A$7:$J$31,5,FALSE)</f>
        <v>BELGIUM</v>
      </c>
      <c r="AG49">
        <f>ROW()</f>
        <v>49</v>
      </c>
    </row>
    <row r="50" spans="1:33" hidden="1" x14ac:dyDescent="0.25">
      <c r="A50" s="4"/>
      <c r="B50" s="12" t="str">
        <f ca="1">IF(ISERROR(VLOOKUP(1,INDIRECT("AE$"&amp;$V49&amp;":AF$4507"),2,FALSE)),"",VLOOKUP(1,INDIRECT("AE$"&amp;$V49&amp;":AF$4507"),2,FALSE))</f>
        <v>BURKINA FASO</v>
      </c>
      <c r="C50" s="52"/>
      <c r="D50" s="52"/>
      <c r="E50" s="52"/>
      <c r="F50" s="52"/>
      <c r="G50" s="52"/>
      <c r="H50" s="52"/>
      <c r="I50" s="113" t="str">
        <f ca="1">IF(ISERROR(VLOOKUP(1,INDIRECT("AE$"&amp;$V49&amp;":AF$4507"),2,FALSE)),"",VLOOKUP(1,INDIRECT("AE$"&amp;$V49&amp;":AF$4507"),2,FALSE))</f>
        <v>BURKINA FASO</v>
      </c>
      <c r="J50" s="139"/>
      <c r="K50" s="139"/>
      <c r="L50" s="139"/>
      <c r="M50" s="139"/>
      <c r="N50" s="139"/>
      <c r="O50" s="176">
        <f ca="1">SUMIFS(Table1[amount],Table1[year],O$7,Table1[ctry2],$I50,Table1[item],"TCO")</f>
        <v>860942</v>
      </c>
      <c r="P50" s="177">
        <f ca="1">SUMIFS(Table1[amount],Table1[year],P$7,Table1[ctry2],$I50,Table1[item],"TCO")</f>
        <v>827790.52</v>
      </c>
      <c r="Q50" s="177">
        <f ca="1">SUMIFS(Table1[amount],Table1[year],Q$7,Table1[ctry2],$I50,Table1[item],"TCO")</f>
        <v>827048.5</v>
      </c>
      <c r="R50" s="177">
        <f ca="1">SUMIFS(Table1[amount],Table1[year],R$7,Table1[ctry2],$I50,Table1[item],"TCO")</f>
        <v>663757.49</v>
      </c>
      <c r="S50" s="177">
        <f ca="1">SUMIFS(Table1[amount],Table1[year],S$7,Table1[ctry2],$I50,Table1[item],"TCO")</f>
        <v>705040.39999999991</v>
      </c>
      <c r="T50" s="178">
        <f t="shared" ca="1" si="6"/>
        <v>3884578.9099999997</v>
      </c>
      <c r="U50" s="5"/>
      <c r="V50">
        <f ca="1">IF(B50="","",_xlfn.MAXIFS(Table1[row],Table1[ctry2],B50)+1)</f>
        <v>548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571788.37155019306</v>
      </c>
      <c r="AE50">
        <f>IF(VLOOKUP(Table1[[#This Row],[sheet]],Prg!$A$7:$J$31,10,FALSE)="","",VLOOKUP(Table1[[#This Row],[sheet]],Prg!$A$7:$J$31,10,FALSE)*1)</f>
        <v>1</v>
      </c>
      <c r="AF50" t="str">
        <f>VLOOKUP(Table1[[#This Row],[sheet]],Prg!$A$7:$J$31,5,FALSE)</f>
        <v>BELGIUM</v>
      </c>
      <c r="AG50">
        <f>ROW()</f>
        <v>50</v>
      </c>
    </row>
    <row r="51" spans="1:33" hidden="1" x14ac:dyDescent="0.25">
      <c r="A51" s="4"/>
      <c r="B51" s="224" t="str">
        <f t="shared" ref="B51:B65" ca="1" si="7">IF(ISERROR(VLOOKUP(1,INDIRECT("AE$"&amp;$V50&amp;":AF$4507"),2,FALSE)),"",VLOOKUP(1,INDIRECT("AE$"&amp;$V50&amp;":AF$4507"),2,FALSE))</f>
        <v>MALI REP</v>
      </c>
      <c r="C51" s="38"/>
      <c r="D51" s="38"/>
      <c r="E51" s="38"/>
      <c r="F51" s="38"/>
      <c r="G51" s="38"/>
      <c r="H51" s="38"/>
      <c r="I51" s="112" t="str">
        <f t="shared" ref="I51:I65" ca="1" si="8">IF(ISERROR(VLOOKUP(1,INDIRECT("AE$"&amp;$V50&amp;":AF$4507"),2,FALSE)),"",VLOOKUP(1,INDIRECT("AE$"&amp;$V50&amp;":AF$4507"),2,FALSE))</f>
        <v>MALI REP</v>
      </c>
      <c r="J51" s="138"/>
      <c r="K51" s="138"/>
      <c r="L51" s="138"/>
      <c r="M51" s="138"/>
      <c r="N51" s="138"/>
      <c r="O51" s="175">
        <f ca="1">SUMIFS(Table1[amount],Table1[year],O$7,Table1[ctry2],$I51,Table1[item],"TCO")</f>
        <v>538435.88106655795</v>
      </c>
      <c r="P51" s="165">
        <f ca="1">SUMIFS(Table1[amount],Table1[year],P$7,Table1[ctry2],$I51,Table1[item],"TCO")</f>
        <v>690220.12907406094</v>
      </c>
      <c r="Q51" s="165">
        <f ca="1">SUMIFS(Table1[amount],Table1[year],Q$7,Table1[ctry2],$I51,Table1[item],"TCO")</f>
        <v>657471.43738904758</v>
      </c>
      <c r="R51" s="165">
        <f ca="1">SUMIFS(Table1[amount],Table1[year],R$7,Table1[ctry2],$I51,Table1[item],"TCO")</f>
        <v>701068.08364392282</v>
      </c>
      <c r="S51" s="165">
        <f ca="1">SUMIFS(Table1[amount],Table1[year],S$7,Table1[ctry2],$I51,Table1[item],"TCO")</f>
        <v>774587.68414912687</v>
      </c>
      <c r="T51" s="171">
        <f t="shared" ca="1" si="6"/>
        <v>3361783.2153227162</v>
      </c>
      <c r="U51" s="5"/>
      <c r="V51">
        <f ca="1">IF(B51="","",_xlfn.MAXIFS(Table1[row],Table1[ctry2],B51)+1)</f>
        <v>728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4800</v>
      </c>
      <c r="AE51">
        <f>IF(VLOOKUP(Table1[[#This Row],[sheet]],Prg!$A$7:$J$31,10,FALSE)="","",VLOOKUP(Table1[[#This Row],[sheet]],Prg!$A$7:$J$31,10,FALSE)*1)</f>
        <v>1</v>
      </c>
      <c r="AF51" t="str">
        <f>VLOOKUP(Table1[[#This Row],[sheet]],Prg!$A$7:$J$31,5,FALSE)</f>
        <v>BELGIUM</v>
      </c>
      <c r="AG51">
        <f>ROW()</f>
        <v>51</v>
      </c>
    </row>
    <row r="52" spans="1:33" hidden="1" x14ac:dyDescent="0.25">
      <c r="A52" s="4"/>
      <c r="B52" s="12" t="str">
        <f t="shared" ca="1" si="7"/>
        <v>NIGER REP</v>
      </c>
      <c r="C52" s="52"/>
      <c r="D52" s="52"/>
      <c r="E52" s="52"/>
      <c r="F52" s="52"/>
      <c r="G52" s="52"/>
      <c r="H52" s="52"/>
      <c r="I52" s="113" t="str">
        <f t="shared" ca="1" si="8"/>
        <v>NIGER REP</v>
      </c>
      <c r="J52" s="139"/>
      <c r="K52" s="139"/>
      <c r="L52" s="139"/>
      <c r="M52" s="139"/>
      <c r="N52" s="139"/>
      <c r="O52" s="176">
        <f ca="1">SUMIFS(Table1[amount],Table1[year],O$7,Table1[ctry2],$I52,Table1[item],"TCO")</f>
        <v>911039.47</v>
      </c>
      <c r="P52" s="177">
        <f ca="1">SUMIFS(Table1[amount],Table1[year],P$7,Table1[ctry2],$I52,Table1[item],"TCO")</f>
        <v>656507.66381119995</v>
      </c>
      <c r="Q52" s="177">
        <f ca="1">SUMIFS(Table1[amount],Table1[year],Q$7,Table1[ctry2],$I52,Table1[item],"TCO")</f>
        <v>481773.44999999995</v>
      </c>
      <c r="R52" s="177">
        <f ca="1">SUMIFS(Table1[amount],Table1[year],R$7,Table1[ctry2],$I52,Table1[item],"TCO")</f>
        <v>343509.98</v>
      </c>
      <c r="S52" s="177">
        <f ca="1">SUMIFS(Table1[amount],Table1[year],S$7,Table1[ctry2],$I52,Table1[item],"TCO")</f>
        <v>360621.19</v>
      </c>
      <c r="T52" s="178">
        <f t="shared" ca="1" si="6"/>
        <v>2753451.7538111997</v>
      </c>
      <c r="U52" s="5"/>
      <c r="V52">
        <f ca="1">IF(B52="","",_xlfn.MAXIFS(Table1[row],Table1[ctry2],B52)+1)</f>
        <v>908</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169046.63</v>
      </c>
      <c r="AE52">
        <f>IF(VLOOKUP(Table1[[#This Row],[sheet]],Prg!$A$7:$J$31,10,FALSE)="","",VLOOKUP(Table1[[#This Row],[sheet]],Prg!$A$7:$J$31,10,FALSE)*1)</f>
        <v>1</v>
      </c>
      <c r="AF52" t="str">
        <f>VLOOKUP(Table1[[#This Row],[sheet]],Prg!$A$7:$J$31,5,FALSE)</f>
        <v>BELGIUM</v>
      </c>
      <c r="AG52">
        <f>ROW()</f>
        <v>52</v>
      </c>
    </row>
    <row r="53" spans="1:33" hidden="1" x14ac:dyDescent="0.25">
      <c r="A53" s="4"/>
      <c r="B53" s="224" t="str">
        <f t="shared" ca="1" si="7"/>
        <v>PALESTINE</v>
      </c>
      <c r="C53" s="38"/>
      <c r="D53" s="38"/>
      <c r="E53" s="38"/>
      <c r="F53" s="38"/>
      <c r="G53" s="38"/>
      <c r="H53" s="38"/>
      <c r="I53" s="112" t="str">
        <f t="shared" ca="1" si="8"/>
        <v>PALESTINE</v>
      </c>
      <c r="J53" s="138"/>
      <c r="K53" s="138"/>
      <c r="L53" s="138"/>
      <c r="M53" s="138"/>
      <c r="N53" s="138"/>
      <c r="O53" s="175">
        <f ca="1">SUMIFS(Table1[amount],Table1[year],O$7,Table1[ctry2],$I53,Table1[item],"TCO")</f>
        <v>316529.54000000004</v>
      </c>
      <c r="P53" s="165">
        <f ca="1">SUMIFS(Table1[amount],Table1[year],P$7,Table1[ctry2],$I53,Table1[item],"TCO")</f>
        <v>860068.7</v>
      </c>
      <c r="Q53" s="165">
        <f ca="1">SUMIFS(Table1[amount],Table1[year],Q$7,Table1[ctry2],$I53,Table1[item],"TCO")</f>
        <v>782463.27</v>
      </c>
      <c r="R53" s="165">
        <f ca="1">SUMIFS(Table1[amount],Table1[year],R$7,Table1[ctry2],$I53,Table1[item],"TCO")</f>
        <v>672187.69849323423</v>
      </c>
      <c r="S53" s="165">
        <f ca="1">SUMIFS(Table1[amount],Table1[year],S$7,Table1[ctry2],$I53,Table1[item],"TCO")</f>
        <v>517874.0453503764</v>
      </c>
      <c r="T53" s="171">
        <f t="shared" ca="1" si="6"/>
        <v>3149123.2538436106</v>
      </c>
      <c r="U53" s="5"/>
      <c r="V53">
        <f ca="1">IF(B53="","",_xlfn.MAXIFS(Table1[row],Table1[ctry2],B53)+1)</f>
        <v>1088</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397941.74155019299</v>
      </c>
      <c r="AE53">
        <f>IF(VLOOKUP(Table1[[#This Row],[sheet]],Prg!$A$7:$J$31,10,FALSE)="","",VLOOKUP(Table1[[#This Row],[sheet]],Prg!$A$7:$J$31,10,FALSE)*1)</f>
        <v>1</v>
      </c>
      <c r="AF53" t="str">
        <f>VLOOKUP(Table1[[#This Row],[sheet]],Prg!$A$7:$J$31,5,FALSE)</f>
        <v>BELGIUM</v>
      </c>
      <c r="AG53">
        <f>ROW()</f>
        <v>53</v>
      </c>
    </row>
    <row r="54" spans="1:33" hidden="1" x14ac:dyDescent="0.25">
      <c r="B54" s="12" t="str">
        <f t="shared" ca="1" si="7"/>
        <v>CONGO (DEMOCRATIC REP.)</v>
      </c>
      <c r="C54" s="52"/>
      <c r="D54" s="52"/>
      <c r="E54" s="52"/>
      <c r="F54" s="52"/>
      <c r="G54" s="52"/>
      <c r="H54" s="52"/>
      <c r="I54" s="113" t="str">
        <f t="shared" ca="1" si="8"/>
        <v>CONGO (DEMOCRATIC REP.)</v>
      </c>
      <c r="J54" s="139"/>
      <c r="K54" s="139"/>
      <c r="L54" s="139"/>
      <c r="M54" s="139"/>
      <c r="N54" s="139"/>
      <c r="O54" s="176">
        <f ca="1">SUMIFS(Table1[amount],Table1[year],O$7,Table1[ctry2],$I54,Table1[item],"TCO")</f>
        <v>475054.86454545456</v>
      </c>
      <c r="P54" s="177">
        <f ca="1">SUMIFS(Table1[amount],Table1[year],P$7,Table1[ctry2],$I54,Table1[item],"TCO")</f>
        <v>462767.78454545472</v>
      </c>
      <c r="Q54" s="177">
        <f ca="1">SUMIFS(Table1[amount],Table1[year],Q$7,Table1[ctry2],$I54,Table1[item],"TCO")</f>
        <v>392215.94272727275</v>
      </c>
      <c r="R54" s="177">
        <f ca="1">SUMIFS(Table1[amount],Table1[year],R$7,Table1[ctry2],$I54,Table1[item],"TCO")</f>
        <v>486772.99272727274</v>
      </c>
      <c r="S54" s="177">
        <f ca="1">SUMIFS(Table1[amount],Table1[year],S$7,Table1[ctry2],$I54,Table1[item],"TCO")</f>
        <v>423262.4645454546</v>
      </c>
      <c r="T54" s="178">
        <f t="shared" ref="T54:T65" ca="1" si="9">SUM(O54:S54)</f>
        <v>2240074.0490909093</v>
      </c>
      <c r="U54" s="5"/>
      <c r="V54">
        <f ca="1">IF(B54="","",_xlfn.MAXIFS(Table1[row],Table1[ctry2],B54)+1)</f>
        <v>1268</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571788.37155019306</v>
      </c>
      <c r="AE54">
        <f>IF(VLOOKUP(Table1[[#This Row],[sheet]],Prg!$A$7:$J$31,10,FALSE)="","",VLOOKUP(Table1[[#This Row],[sheet]],Prg!$A$7:$J$31,10,FALSE)*1)</f>
        <v>1</v>
      </c>
      <c r="AF54" t="str">
        <f>VLOOKUP(Table1[[#This Row],[sheet]],Prg!$A$7:$J$31,5,FALSE)</f>
        <v>BELGIUM</v>
      </c>
      <c r="AG54">
        <f>ROW()</f>
        <v>54</v>
      </c>
    </row>
    <row r="55" spans="1:33" hidden="1" x14ac:dyDescent="0.25">
      <c r="B55" s="224" t="str">
        <f t="shared" ca="1" si="7"/>
        <v/>
      </c>
      <c r="C55" s="38"/>
      <c r="D55" s="38"/>
      <c r="E55" s="38"/>
      <c r="F55" s="38"/>
      <c r="G55" s="38"/>
      <c r="H55" s="38"/>
      <c r="I55" s="112" t="str">
        <f t="shared" ca="1" si="8"/>
        <v/>
      </c>
      <c r="J55" s="138"/>
      <c r="K55" s="138"/>
      <c r="L55" s="138"/>
      <c r="M55" s="138"/>
      <c r="N55" s="138"/>
      <c r="O55" s="175">
        <f ca="1">SUMIFS(Table1[amount],Table1[year],O$7,Table1[ctry2],$I55,Table1[item],"TCO")</f>
        <v>0</v>
      </c>
      <c r="P55" s="165">
        <f ca="1">SUMIFS(Table1[amount],Table1[year],P$7,Table1[ctry2],$I55,Table1[item],"TCO")</f>
        <v>0</v>
      </c>
      <c r="Q55" s="165">
        <f ca="1">SUMIFS(Table1[amount],Table1[year],Q$7,Table1[ctry2],$I55,Table1[item],"TCO")</f>
        <v>0</v>
      </c>
      <c r="R55" s="165">
        <f ca="1">SUMIFS(Table1[amount],Table1[year],R$7,Table1[ctry2],$I55,Table1[item],"TCO")</f>
        <v>0</v>
      </c>
      <c r="S55" s="165">
        <f ca="1">SUMIFS(Table1[amount],Table1[year],S$7,Table1[ctry2],$I55,Table1[item],"TCO")</f>
        <v>0</v>
      </c>
      <c r="T55" s="171">
        <f t="shared" ca="1" si="9"/>
        <v>0</v>
      </c>
      <c r="U55" s="5"/>
      <c r="V55" t="str">
        <f ca="1">IF(B55="","",_xlfn.MAXIFS(Table1[row],Table1[ctry2],B55)+1)</f>
        <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4800</v>
      </c>
      <c r="AE55">
        <f>IF(VLOOKUP(Table1[[#This Row],[sheet]],Prg!$A$7:$J$31,10,FALSE)="","",VLOOKUP(Table1[[#This Row],[sheet]],Prg!$A$7:$J$31,10,FALSE)*1)</f>
        <v>1</v>
      </c>
      <c r="AF55" t="str">
        <f>VLOOKUP(Table1[[#This Row],[sheet]],Prg!$A$7:$J$31,5,FALSE)</f>
        <v>BELGIUM</v>
      </c>
      <c r="AG55">
        <f>ROW()</f>
        <v>55</v>
      </c>
    </row>
    <row r="56" spans="1:33" hidden="1" x14ac:dyDescent="0.25">
      <c r="B56" s="12" t="str">
        <f t="shared" ca="1" si="7"/>
        <v/>
      </c>
      <c r="C56" s="52"/>
      <c r="D56" s="52"/>
      <c r="E56" s="52"/>
      <c r="F56" s="52"/>
      <c r="G56" s="52"/>
      <c r="H56" s="52"/>
      <c r="I56" s="113" t="str">
        <f t="shared" ca="1" si="8"/>
        <v/>
      </c>
      <c r="J56" s="139"/>
      <c r="K56" s="139"/>
      <c r="L56" s="139"/>
      <c r="M56" s="139"/>
      <c r="N56" s="139"/>
      <c r="O56" s="176">
        <f ca="1">SUMIFS(Table1[amount],Table1[year],O$7,Table1[ctry2],$I56,Table1[item],"TCO")</f>
        <v>0</v>
      </c>
      <c r="P56" s="177">
        <f ca="1">SUMIFS(Table1[amount],Table1[year],P$7,Table1[ctry2],$I56,Table1[item],"TCO")</f>
        <v>0</v>
      </c>
      <c r="Q56" s="177">
        <f ca="1">SUMIFS(Table1[amount],Table1[year],Q$7,Table1[ctry2],$I56,Table1[item],"TCO")</f>
        <v>0</v>
      </c>
      <c r="R56" s="177">
        <f ca="1">SUMIFS(Table1[amount],Table1[year],R$7,Table1[ctry2],$I56,Table1[item],"TCO")</f>
        <v>0</v>
      </c>
      <c r="S56" s="177">
        <f ca="1">SUMIFS(Table1[amount],Table1[year],S$7,Table1[ctry2],$I56,Table1[item],"TCO")</f>
        <v>0</v>
      </c>
      <c r="T56" s="178">
        <f t="shared" ca="1" si="9"/>
        <v>0</v>
      </c>
      <c r="U56" s="5"/>
      <c r="V56" t="str">
        <f ca="1">IF(B56="","",_xlfn.MAXIFS(Table1[row],Table1[ctry2],B56)+1)</f>
        <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0</v>
      </c>
      <c r="AE56">
        <f>IF(VLOOKUP(Table1[[#This Row],[sheet]],Prg!$A$7:$J$31,10,FALSE)="","",VLOOKUP(Table1[[#This Row],[sheet]],Prg!$A$7:$J$31,10,FALSE)*1)</f>
        <v>1</v>
      </c>
      <c r="AF56" t="str">
        <f>VLOOKUP(Table1[[#This Row],[sheet]],Prg!$A$7:$J$31,5,FALSE)</f>
        <v>BELGIUM</v>
      </c>
      <c r="AG56">
        <f>ROW()</f>
        <v>56</v>
      </c>
    </row>
    <row r="57" spans="1:33" hidden="1" x14ac:dyDescent="0.25">
      <c r="B57" s="224" t="str">
        <f t="shared" ca="1" si="7"/>
        <v/>
      </c>
      <c r="C57" s="38"/>
      <c r="D57" s="38"/>
      <c r="E57" s="38"/>
      <c r="F57" s="38"/>
      <c r="G57" s="38"/>
      <c r="H57" s="38"/>
      <c r="I57" s="112" t="str">
        <f t="shared" ca="1" si="8"/>
        <v/>
      </c>
      <c r="J57" s="138"/>
      <c r="K57" s="138"/>
      <c r="L57" s="138"/>
      <c r="M57" s="138"/>
      <c r="N57" s="138"/>
      <c r="O57" s="175">
        <f ca="1">SUMIFS(Table1[amount],Table1[year],O$7,Table1[ctry2],$I57,Table1[item],"TCO")</f>
        <v>0</v>
      </c>
      <c r="P57" s="165">
        <f ca="1">SUMIFS(Table1[amount],Table1[year],P$7,Table1[ctry2],$I57,Table1[item],"TCO")</f>
        <v>0</v>
      </c>
      <c r="Q57" s="165">
        <f ca="1">SUMIFS(Table1[amount],Table1[year],Q$7,Table1[ctry2],$I57,Table1[item],"TCO")</f>
        <v>0</v>
      </c>
      <c r="R57" s="165">
        <f ca="1">SUMIFS(Table1[amount],Table1[year],R$7,Table1[ctry2],$I57,Table1[item],"TCO")</f>
        <v>0</v>
      </c>
      <c r="S57" s="165">
        <f ca="1">SUMIFS(Table1[amount],Table1[year],S$7,Table1[ctry2],$I57,Table1[item],"TCO")</f>
        <v>0</v>
      </c>
      <c r="T57" s="171">
        <f t="shared" ca="1" si="9"/>
        <v>0</v>
      </c>
      <c r="U57" s="5"/>
      <c r="V57" t="str">
        <f ca="1">IF(B57="","",_xlfn.MAXIFS(Table1[row],Table1[ctry2],B57)+1)</f>
        <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4800</v>
      </c>
      <c r="AE57">
        <f>IF(VLOOKUP(Table1[[#This Row],[sheet]],Prg!$A$7:$J$31,10,FALSE)="","",VLOOKUP(Table1[[#This Row],[sheet]],Prg!$A$7:$J$31,10,FALSE)*1)</f>
        <v>1</v>
      </c>
      <c r="AF57" t="str">
        <f>VLOOKUP(Table1[[#This Row],[sheet]],Prg!$A$7:$J$31,5,FALSE)</f>
        <v>BELGIUM</v>
      </c>
      <c r="AG57">
        <f>ROW()</f>
        <v>57</v>
      </c>
    </row>
    <row r="58" spans="1:33" hidden="1" x14ac:dyDescent="0.25">
      <c r="B58" s="12" t="str">
        <f t="shared" ca="1" si="7"/>
        <v/>
      </c>
      <c r="C58" s="52"/>
      <c r="D58" s="52"/>
      <c r="E58" s="52"/>
      <c r="F58" s="52"/>
      <c r="G58" s="52"/>
      <c r="H58" s="52"/>
      <c r="I58" s="113" t="str">
        <f t="shared" ca="1" si="8"/>
        <v/>
      </c>
      <c r="J58" s="139"/>
      <c r="K58" s="139"/>
      <c r="L58" s="139"/>
      <c r="M58" s="139"/>
      <c r="N58" s="139"/>
      <c r="O58" s="176">
        <f ca="1">SUMIFS(Table1[amount],Table1[year],O$7,Table1[ctry2],$I58,Table1[item],"TCO")</f>
        <v>0</v>
      </c>
      <c r="P58" s="177">
        <f ca="1">SUMIFS(Table1[amount],Table1[year],P$7,Table1[ctry2],$I58,Table1[item],"TCO")</f>
        <v>0</v>
      </c>
      <c r="Q58" s="177">
        <f ca="1">SUMIFS(Table1[amount],Table1[year],Q$7,Table1[ctry2],$I58,Table1[item],"TCO")</f>
        <v>0</v>
      </c>
      <c r="R58" s="177">
        <f ca="1">SUMIFS(Table1[amount],Table1[year],R$7,Table1[ctry2],$I58,Table1[item],"TCO")</f>
        <v>0</v>
      </c>
      <c r="S58" s="177">
        <f ca="1">SUMIFS(Table1[amount],Table1[year],S$7,Table1[ctry2],$I58,Table1[item],"TCO")</f>
        <v>0</v>
      </c>
      <c r="T58" s="178">
        <f t="shared" ca="1" si="9"/>
        <v>0</v>
      </c>
      <c r="U58" s="5"/>
      <c r="V58" t="str">
        <f ca="1">IF(B58="","",_xlfn.MAXIFS(Table1[row],Table1[ctry2],B58)+1)</f>
        <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0</v>
      </c>
      <c r="AE58">
        <f>IF(VLOOKUP(Table1[[#This Row],[sheet]],Prg!$A$7:$J$31,10,FALSE)="","",VLOOKUP(Table1[[#This Row],[sheet]],Prg!$A$7:$J$31,10,FALSE)*1)</f>
        <v>1</v>
      </c>
      <c r="AF58" t="str">
        <f>VLOOKUP(Table1[[#This Row],[sheet]],Prg!$A$7:$J$31,5,FALSE)</f>
        <v>BELGIUM</v>
      </c>
      <c r="AG58">
        <f>ROW()</f>
        <v>58</v>
      </c>
    </row>
    <row r="59" spans="1:33" hidden="1" x14ac:dyDescent="0.25">
      <c r="B59" s="224" t="str">
        <f t="shared" ca="1" si="7"/>
        <v/>
      </c>
      <c r="C59" s="38"/>
      <c r="D59" s="38"/>
      <c r="E59" s="38"/>
      <c r="F59" s="38"/>
      <c r="G59" s="38"/>
      <c r="H59" s="38"/>
      <c r="I59" s="112" t="str">
        <f t="shared" ca="1" si="8"/>
        <v/>
      </c>
      <c r="J59" s="138"/>
      <c r="K59" s="138"/>
      <c r="L59" s="138"/>
      <c r="M59" s="138"/>
      <c r="N59" s="138"/>
      <c r="O59" s="175">
        <f ca="1">SUMIFS(Table1[amount],Table1[year],O$7,Table1[ctry2],$I59,Table1[item],"TCO")</f>
        <v>0</v>
      </c>
      <c r="P59" s="165">
        <f ca="1">SUMIFS(Table1[amount],Table1[year],P$7,Table1[ctry2],$I59,Table1[item],"TCO")</f>
        <v>0</v>
      </c>
      <c r="Q59" s="165">
        <f ca="1">SUMIFS(Table1[amount],Table1[year],Q$7,Table1[ctry2],$I59,Table1[item],"TCO")</f>
        <v>0</v>
      </c>
      <c r="R59" s="165">
        <f ca="1">SUMIFS(Table1[amount],Table1[year],R$7,Table1[ctry2],$I59,Table1[item],"TCO")</f>
        <v>0</v>
      </c>
      <c r="S59" s="165">
        <f ca="1">SUMIFS(Table1[amount],Table1[year],S$7,Table1[ctry2],$I59,Table1[item],"TCO")</f>
        <v>0</v>
      </c>
      <c r="T59" s="171">
        <f t="shared" ca="1" si="9"/>
        <v>0</v>
      </c>
      <c r="U59" s="5"/>
      <c r="V59" t="str">
        <f ca="1">IF(B59="","",_xlfn.MAXIFS(Table1[row],Table1[ctry2],B59)+1)</f>
        <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169046.63</v>
      </c>
      <c r="AE59">
        <f>IF(VLOOKUP(Table1[[#This Row],[sheet]],Prg!$A$7:$J$31,10,FALSE)="","",VLOOKUP(Table1[[#This Row],[sheet]],Prg!$A$7:$J$31,10,FALSE)*1)</f>
        <v>1</v>
      </c>
      <c r="AF59" t="str">
        <f>VLOOKUP(Table1[[#This Row],[sheet]],Prg!$A$7:$J$31,5,FALSE)</f>
        <v>BELGIUM</v>
      </c>
      <c r="AG59">
        <f>ROW()</f>
        <v>59</v>
      </c>
    </row>
    <row r="60" spans="1:33" hidden="1" x14ac:dyDescent="0.25">
      <c r="B60" s="12" t="str">
        <f t="shared" ca="1" si="7"/>
        <v/>
      </c>
      <c r="C60" s="52"/>
      <c r="D60" s="52"/>
      <c r="E60" s="52"/>
      <c r="F60" s="52"/>
      <c r="G60" s="52"/>
      <c r="H60" s="52"/>
      <c r="I60" s="113" t="str">
        <f t="shared" ca="1" si="8"/>
        <v/>
      </c>
      <c r="J60" s="139"/>
      <c r="K60" s="139"/>
      <c r="L60" s="139"/>
      <c r="M60" s="139"/>
      <c r="N60" s="139"/>
      <c r="O60" s="176">
        <f ca="1">SUMIFS(Table1[amount],Table1[year],O$7,Table1[ctry2],$I60,Table1[item],"TCO")</f>
        <v>0</v>
      </c>
      <c r="P60" s="177">
        <f ca="1">SUMIFS(Table1[amount],Table1[year],P$7,Table1[ctry2],$I60,Table1[item],"TCO")</f>
        <v>0</v>
      </c>
      <c r="Q60" s="177">
        <f ca="1">SUMIFS(Table1[amount],Table1[year],Q$7,Table1[ctry2],$I60,Table1[item],"TCO")</f>
        <v>0</v>
      </c>
      <c r="R60" s="177">
        <f ca="1">SUMIFS(Table1[amount],Table1[year],R$7,Table1[ctry2],$I60,Table1[item],"TCO")</f>
        <v>0</v>
      </c>
      <c r="S60" s="177">
        <f ca="1">SUMIFS(Table1[amount],Table1[year],S$7,Table1[ctry2],$I60,Table1[item],"TCO")</f>
        <v>0</v>
      </c>
      <c r="T60" s="178">
        <f t="shared" ca="1" si="9"/>
        <v>0</v>
      </c>
      <c r="U60" s="5"/>
      <c r="V60" t="str">
        <f ca="1">IF(B60="","",_xlfn.MAXIFS(Table1[row],Table1[ctry2],B60)+1)</f>
        <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2000</v>
      </c>
      <c r="AE60">
        <f>IF(VLOOKUP(Table1[[#This Row],[sheet]],Prg!$A$7:$J$31,10,FALSE)="","",VLOOKUP(Table1[[#This Row],[sheet]],Prg!$A$7:$J$31,10,FALSE)*1)</f>
        <v>1</v>
      </c>
      <c r="AF60" t="str">
        <f>VLOOKUP(Table1[[#This Row],[sheet]],Prg!$A$7:$J$31,5,FALSE)</f>
        <v>BELGIUM</v>
      </c>
      <c r="AG60">
        <f>ROW()</f>
        <v>60</v>
      </c>
    </row>
    <row r="61" spans="1:33" hidden="1" x14ac:dyDescent="0.25">
      <c r="B61" s="224" t="str">
        <f t="shared" ca="1" si="7"/>
        <v/>
      </c>
      <c r="C61" s="38"/>
      <c r="D61" s="38"/>
      <c r="E61" s="38"/>
      <c r="F61" s="38"/>
      <c r="G61" s="38"/>
      <c r="H61" s="38"/>
      <c r="I61" s="112" t="str">
        <f t="shared" ca="1" si="8"/>
        <v/>
      </c>
      <c r="J61" s="138"/>
      <c r="K61" s="138"/>
      <c r="L61" s="138"/>
      <c r="M61" s="138"/>
      <c r="N61" s="138"/>
      <c r="O61" s="175">
        <f ca="1">SUMIFS(Table1[amount],Table1[year],O$7,Table1[ctry2],$I61,Table1[item],"TCO")</f>
        <v>0</v>
      </c>
      <c r="P61" s="165">
        <f ca="1">SUMIFS(Table1[amount],Table1[year],P$7,Table1[ctry2],$I61,Table1[item],"TCO")</f>
        <v>0</v>
      </c>
      <c r="Q61" s="165">
        <f ca="1">SUMIFS(Table1[amount],Table1[year],Q$7,Table1[ctry2],$I61,Table1[item],"TCO")</f>
        <v>0</v>
      </c>
      <c r="R61" s="165">
        <f ca="1">SUMIFS(Table1[amount],Table1[year],R$7,Table1[ctry2],$I61,Table1[item],"TCO")</f>
        <v>0</v>
      </c>
      <c r="S61" s="165">
        <f ca="1">SUMIFS(Table1[amount],Table1[year],S$7,Table1[ctry2],$I61,Table1[item],"TCO")</f>
        <v>0</v>
      </c>
      <c r="T61" s="171">
        <f t="shared" ca="1" si="9"/>
        <v>0</v>
      </c>
      <c r="U61" s="5"/>
      <c r="V61" t="str">
        <f ca="1">IF(B61="","",_xlfn.MAXIFS(Table1[row],Table1[ctry2],B61)+1)</f>
        <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0</v>
      </c>
      <c r="AE61">
        <f>IF(VLOOKUP(Table1[[#This Row],[sheet]],Prg!$A$7:$J$31,10,FALSE)="","",VLOOKUP(Table1[[#This Row],[sheet]],Prg!$A$7:$J$31,10,FALSE)*1)</f>
        <v>1</v>
      </c>
      <c r="AF61" t="str">
        <f>VLOOKUP(Table1[[#This Row],[sheet]],Prg!$A$7:$J$31,5,FALSE)</f>
        <v>BELGIUM</v>
      </c>
      <c r="AG61">
        <f>ROW()</f>
        <v>61</v>
      </c>
    </row>
    <row r="62" spans="1:33" hidden="1" x14ac:dyDescent="0.25">
      <c r="B62" s="12" t="str">
        <f t="shared" ca="1" si="7"/>
        <v/>
      </c>
      <c r="C62" s="52"/>
      <c r="D62" s="52"/>
      <c r="E62" s="52"/>
      <c r="F62" s="52"/>
      <c r="G62" s="52"/>
      <c r="H62" s="52"/>
      <c r="I62" s="113" t="str">
        <f t="shared" ca="1" si="8"/>
        <v/>
      </c>
      <c r="J62" s="139"/>
      <c r="K62" s="139"/>
      <c r="L62" s="139"/>
      <c r="M62" s="139"/>
      <c r="N62" s="139"/>
      <c r="O62" s="176">
        <f ca="1">SUMIFS(Table1[amount],Table1[year],O$7,Table1[ctry2],$I62,Table1[item],"TCO")</f>
        <v>0</v>
      </c>
      <c r="P62" s="177">
        <f ca="1">SUMIFS(Table1[amount],Table1[year],P$7,Table1[ctry2],$I62,Table1[item],"TCO")</f>
        <v>0</v>
      </c>
      <c r="Q62" s="177">
        <f ca="1">SUMIFS(Table1[amount],Table1[year],Q$7,Table1[ctry2],$I62,Table1[item],"TCO")</f>
        <v>0</v>
      </c>
      <c r="R62" s="177">
        <f ca="1">SUMIFS(Table1[amount],Table1[year],R$7,Table1[ctry2],$I62,Table1[item],"TCO")</f>
        <v>0</v>
      </c>
      <c r="S62" s="177">
        <f ca="1">SUMIFS(Table1[amount],Table1[year],S$7,Table1[ctry2],$I62,Table1[item],"TCO")</f>
        <v>0</v>
      </c>
      <c r="T62" s="178">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167046.63</v>
      </c>
      <c r="AE62">
        <f>IF(VLOOKUP(Table1[[#This Row],[sheet]],Prg!$A$7:$J$31,10,FALSE)="","",VLOOKUP(Table1[[#This Row],[sheet]],Prg!$A$7:$J$31,10,FALSE)*1)</f>
        <v>1</v>
      </c>
      <c r="AF62" t="str">
        <f>VLOOKUP(Table1[[#This Row],[sheet]],Prg!$A$7:$J$31,5,FALSE)</f>
        <v>BELGIUM</v>
      </c>
      <c r="AG62">
        <f>ROW()</f>
        <v>62</v>
      </c>
    </row>
    <row r="63" spans="1:33" hidden="1" x14ac:dyDescent="0.25">
      <c r="B63" s="224" t="str">
        <f t="shared" ca="1" si="7"/>
        <v/>
      </c>
      <c r="C63" s="38"/>
      <c r="D63" s="38"/>
      <c r="E63" s="38"/>
      <c r="F63" s="38"/>
      <c r="G63" s="38"/>
      <c r="H63" s="38"/>
      <c r="I63" s="112" t="str">
        <f t="shared" ca="1" si="8"/>
        <v/>
      </c>
      <c r="J63" s="138"/>
      <c r="K63" s="138"/>
      <c r="L63" s="138"/>
      <c r="M63" s="138"/>
      <c r="N63" s="138"/>
      <c r="O63" s="175">
        <f ca="1">SUMIFS(Table1[amount],Table1[year],O$7,Table1[ctry2],$I63,Table1[item],"TCO")</f>
        <v>0</v>
      </c>
      <c r="P63" s="165">
        <f ca="1">SUMIFS(Table1[amount],Table1[year],P$7,Table1[ctry2],$I63,Table1[item],"TCO")</f>
        <v>0</v>
      </c>
      <c r="Q63" s="165">
        <f ca="1">SUMIFS(Table1[amount],Table1[year],Q$7,Table1[ctry2],$I63,Table1[item],"TCO")</f>
        <v>0</v>
      </c>
      <c r="R63" s="165">
        <f ca="1">SUMIFS(Table1[amount],Table1[year],R$7,Table1[ctry2],$I63,Table1[item],"TCO")</f>
        <v>0</v>
      </c>
      <c r="S63" s="165">
        <f ca="1">SUMIFS(Table1[amount],Table1[year],S$7,Table1[ctry2],$I63,Table1[item],"TCO")</f>
        <v>0</v>
      </c>
      <c r="T63" s="171">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397941.74155019299</v>
      </c>
      <c r="AE63">
        <f>IF(VLOOKUP(Table1[[#This Row],[sheet]],Prg!$A$7:$J$31,10,FALSE)="","",VLOOKUP(Table1[[#This Row],[sheet]],Prg!$A$7:$J$31,10,FALSE)*1)</f>
        <v>1</v>
      </c>
      <c r="AF63" t="str">
        <f>VLOOKUP(Table1[[#This Row],[sheet]],Prg!$A$7:$J$31,5,FALSE)</f>
        <v>BELGIUM</v>
      </c>
      <c r="AG63">
        <f>ROW()</f>
        <v>63</v>
      </c>
    </row>
    <row r="64" spans="1:33" hidden="1" x14ac:dyDescent="0.25">
      <c r="B64" s="12" t="str">
        <f t="shared" ca="1" si="7"/>
        <v/>
      </c>
      <c r="C64" s="52"/>
      <c r="D64" s="52"/>
      <c r="E64" s="52"/>
      <c r="F64" s="52"/>
      <c r="G64" s="52"/>
      <c r="H64" s="52"/>
      <c r="I64" s="113" t="str">
        <f t="shared" ca="1" si="8"/>
        <v/>
      </c>
      <c r="J64" s="139"/>
      <c r="K64" s="139"/>
      <c r="L64" s="139"/>
      <c r="M64" s="139"/>
      <c r="N64" s="139"/>
      <c r="O64" s="176">
        <f ca="1">SUMIFS(Table1[amount],Table1[year],O$7,Table1[ctry2],$I64,Table1[item],"TCO")</f>
        <v>0</v>
      </c>
      <c r="P64" s="177">
        <f ca="1">SUMIFS(Table1[amount],Table1[year],P$7,Table1[ctry2],$I64,Table1[item],"TCO")</f>
        <v>0</v>
      </c>
      <c r="Q64" s="177">
        <f ca="1">SUMIFS(Table1[amount],Table1[year],Q$7,Table1[ctry2],$I64,Table1[item],"TCO")</f>
        <v>0</v>
      </c>
      <c r="R64" s="177">
        <f ca="1">SUMIFS(Table1[amount],Table1[year],R$7,Table1[ctry2],$I64,Table1[item],"TCO")</f>
        <v>0</v>
      </c>
      <c r="S64" s="177">
        <f ca="1">SUMIFS(Table1[amount],Table1[year],S$7,Table1[ctry2],$I64,Table1[item],"TCO")</f>
        <v>0</v>
      </c>
      <c r="T64" s="178">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397941.74155019299</v>
      </c>
      <c r="AE64">
        <f>IF(VLOOKUP(Table1[[#This Row],[sheet]],Prg!$A$7:$J$31,10,FALSE)="","",VLOOKUP(Table1[[#This Row],[sheet]],Prg!$A$7:$J$31,10,FALSE)*1)</f>
        <v>1</v>
      </c>
      <c r="AF64" t="str">
        <f>VLOOKUP(Table1[[#This Row],[sheet]],Prg!$A$7:$J$31,5,FALSE)</f>
        <v>BELGIUM</v>
      </c>
      <c r="AG64">
        <f>ROW()</f>
        <v>64</v>
      </c>
    </row>
    <row r="65" spans="2:33" hidden="1" x14ac:dyDescent="0.25">
      <c r="B65" s="224" t="str">
        <f t="shared" ca="1" si="7"/>
        <v/>
      </c>
      <c r="C65" s="38"/>
      <c r="D65" s="38"/>
      <c r="E65" s="38"/>
      <c r="F65" s="38"/>
      <c r="G65" s="38"/>
      <c r="H65" s="38"/>
      <c r="I65" s="112" t="str">
        <f t="shared" ca="1" si="8"/>
        <v/>
      </c>
      <c r="J65" s="138"/>
      <c r="K65" s="138"/>
      <c r="L65" s="138"/>
      <c r="M65" s="138"/>
      <c r="N65" s="138"/>
      <c r="O65" s="175">
        <f ca="1">SUMIFS(Table1[amount],Table1[year],O$7,Table1[ctry2],$I65,Table1[item],"TCO")</f>
        <v>0</v>
      </c>
      <c r="P65" s="165">
        <f ca="1">SUMIFS(Table1[amount],Table1[year],P$7,Table1[ctry2],$I65,Table1[item],"TCO")</f>
        <v>0</v>
      </c>
      <c r="Q65" s="165">
        <f ca="1">SUMIFS(Table1[amount],Table1[year],Q$7,Table1[ctry2],$I65,Table1[item],"TCO")</f>
        <v>0</v>
      </c>
      <c r="R65" s="165">
        <f ca="1">SUMIFS(Table1[amount],Table1[year],R$7,Table1[ctry2],$I65,Table1[item],"TCO")</f>
        <v>0</v>
      </c>
      <c r="S65" s="165">
        <f ca="1">SUMIFS(Table1[amount],Table1[year],S$7,Table1[ctry2],$I65,Table1[item],"TCO")</f>
        <v>0</v>
      </c>
      <c r="T65" s="171">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BELGIUM</v>
      </c>
      <c r="AG65">
        <f>ROW()</f>
        <v>65</v>
      </c>
    </row>
    <row r="66" spans="2:33" hidden="1" x14ac:dyDescent="0.25">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0</v>
      </c>
      <c r="AE66">
        <f>IF(VLOOKUP(Table1[[#This Row],[sheet]],Prg!$A$7:$J$31,10,FALSE)="","",VLOOKUP(Table1[[#This Row],[sheet]],Prg!$A$7:$J$31,10,FALSE)*1)</f>
        <v>1</v>
      </c>
      <c r="AF66" t="str">
        <f>VLOOKUP(Table1[[#This Row],[sheet]],Prg!$A$7:$J$31,5,FALSE)</f>
        <v>BELGIUM</v>
      </c>
      <c r="AG66">
        <f>ROW()</f>
        <v>66</v>
      </c>
    </row>
    <row r="67" spans="2:33" hidden="1" x14ac:dyDescent="0.25">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BELGIUM</v>
      </c>
      <c r="AG67">
        <f>ROW()</f>
        <v>67</v>
      </c>
    </row>
    <row r="68" spans="2:33" hidden="1" x14ac:dyDescent="0.25">
      <c r="X68">
        <v>1</v>
      </c>
      <c r="Y68" s="53" t="s">
        <v>753</v>
      </c>
      <c r="Z68" s="53" t="s">
        <v>162</v>
      </c>
      <c r="AA68" s="53" t="str">
        <f>IF(OR(VLOOKUP(Table1[[#This Row],[sheet]],Prg!$A$7:$F$31,6,FALSE)=Prg!$O$2,VLOOKUP(Table1[[#This Row],[sheet]],Prg!$A$7:$F$31,6,FALSE)=Prg!$O$3),"Yes","No")</f>
        <v>Yes</v>
      </c>
      <c r="AB68" s="53">
        <v>2024</v>
      </c>
      <c r="AC68">
        <v>17</v>
      </c>
      <c r="AD68">
        <f ca="1">IF(ISERROR(VLOOKUP(Table1[[#This Row],[item]],INDIRECT("'"&amp;Table1[[#This Row],[sheet]]&amp;"'!$A$8:$T$42"),Table1[[#This Row],[r]],FALSE)),"",VLOOKUP(Table1[[#This Row],[item]],INDIRECT("'"&amp;Table1[[#This Row],[sheet]]&amp;"'!$A$8:$T$42"),Table1[[#This Row],[r]],FALSE))</f>
        <v>0</v>
      </c>
      <c r="AE68">
        <f>IF(VLOOKUP(Table1[[#This Row],[sheet]],Prg!$A$7:$J$31,10,FALSE)="","",VLOOKUP(Table1[[#This Row],[sheet]],Prg!$A$7:$J$31,10,FALSE)*1)</f>
        <v>1</v>
      </c>
      <c r="AF68" t="str">
        <f>VLOOKUP(Table1[[#This Row],[sheet]],Prg!$A$7:$J$31,5,FALSE)</f>
        <v>BELGIUM</v>
      </c>
      <c r="AG68">
        <f>ROW()</f>
        <v>68</v>
      </c>
    </row>
    <row r="69" spans="2:33" hidden="1" x14ac:dyDescent="0.25">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0</v>
      </c>
      <c r="AE69">
        <f>IF(VLOOKUP(Table1[[#This Row],[sheet]],Prg!$A$7:$J$31,10,FALSE)="","",VLOOKUP(Table1[[#This Row],[sheet]],Prg!$A$7:$J$31,10,FALSE)*1)</f>
        <v>1</v>
      </c>
      <c r="AF69" t="str">
        <f>VLOOKUP(Table1[[#This Row],[sheet]],Prg!$A$7:$J$31,5,FALSE)</f>
        <v>BELGIUM</v>
      </c>
      <c r="AG69">
        <f>ROW()</f>
        <v>69</v>
      </c>
    </row>
    <row r="70" spans="2:33" hidden="1" x14ac:dyDescent="0.25">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0</v>
      </c>
      <c r="AE70">
        <f>IF(VLOOKUP(Table1[[#This Row],[sheet]],Prg!$A$7:$J$31,10,FALSE)="","",VLOOKUP(Table1[[#This Row],[sheet]],Prg!$A$7:$J$31,10,FALSE)*1)</f>
        <v>1</v>
      </c>
      <c r="AF70" t="str">
        <f>VLOOKUP(Table1[[#This Row],[sheet]],Prg!$A$7:$J$31,5,FALSE)</f>
        <v>BELGIUM</v>
      </c>
      <c r="AG70">
        <f>ROW()</f>
        <v>70</v>
      </c>
    </row>
    <row r="71" spans="2:33" hidden="1" x14ac:dyDescent="0.25">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0</v>
      </c>
      <c r="AE71">
        <f>IF(VLOOKUP(Table1[[#This Row],[sheet]],Prg!$A$7:$J$31,10,FALSE)="","",VLOOKUP(Table1[[#This Row],[sheet]],Prg!$A$7:$J$31,10,FALSE)*1)</f>
        <v>1</v>
      </c>
      <c r="AF71" t="str">
        <f>VLOOKUP(Table1[[#This Row],[sheet]],Prg!$A$7:$J$31,5,FALSE)</f>
        <v>BELGIUM</v>
      </c>
      <c r="AG71">
        <f>ROW()</f>
        <v>71</v>
      </c>
    </row>
    <row r="72" spans="2:33" hidden="1" x14ac:dyDescent="0.25">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BELGIUM</v>
      </c>
      <c r="AG72">
        <f>ROW()</f>
        <v>72</v>
      </c>
    </row>
    <row r="73" spans="2:33" hidden="1" x14ac:dyDescent="0.25">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BELGIUM</v>
      </c>
      <c r="AG73">
        <f>ROW()</f>
        <v>73</v>
      </c>
    </row>
    <row r="74" spans="2:33" hidden="1" x14ac:dyDescent="0.25">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BELGIUM</v>
      </c>
      <c r="AG74">
        <f>ROW()</f>
        <v>74</v>
      </c>
    </row>
    <row r="75" spans="2:33" hidden="1" x14ac:dyDescent="0.25">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BELGIUM</v>
      </c>
      <c r="AG75">
        <f>ROW()</f>
        <v>75</v>
      </c>
    </row>
    <row r="76" spans="2:33" hidden="1" x14ac:dyDescent="0.25">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0</v>
      </c>
      <c r="AE76">
        <f>IF(VLOOKUP(Table1[[#This Row],[sheet]],Prg!$A$7:$J$31,10,FALSE)="","",VLOOKUP(Table1[[#This Row],[sheet]],Prg!$A$7:$J$31,10,FALSE)*1)</f>
        <v>1</v>
      </c>
      <c r="AF76" t="str">
        <f>VLOOKUP(Table1[[#This Row],[sheet]],Prg!$A$7:$J$31,5,FALSE)</f>
        <v>BELGIUM</v>
      </c>
      <c r="AG76">
        <f>ROW()</f>
        <v>76</v>
      </c>
    </row>
    <row r="77" spans="2:33" hidden="1" x14ac:dyDescent="0.25">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BELGIUM</v>
      </c>
      <c r="AG77">
        <f>ROW()</f>
        <v>77</v>
      </c>
    </row>
    <row r="78" spans="2:33" hidden="1" x14ac:dyDescent="0.25">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0</v>
      </c>
      <c r="AE78">
        <f>IF(VLOOKUP(Table1[[#This Row],[sheet]],Prg!$A$7:$J$31,10,FALSE)="","",VLOOKUP(Table1[[#This Row],[sheet]],Prg!$A$7:$J$31,10,FALSE)*1)</f>
        <v>1</v>
      </c>
      <c r="AF78" t="str">
        <f>VLOOKUP(Table1[[#This Row],[sheet]],Prg!$A$7:$J$31,5,FALSE)</f>
        <v>BELGIUM</v>
      </c>
      <c r="AG78">
        <f>ROW()</f>
        <v>78</v>
      </c>
    </row>
    <row r="79" spans="2:33" hidden="1" x14ac:dyDescent="0.25">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0</v>
      </c>
      <c r="AE79">
        <f>IF(VLOOKUP(Table1[[#This Row],[sheet]],Prg!$A$7:$J$31,10,FALSE)="","",VLOOKUP(Table1[[#This Row],[sheet]],Prg!$A$7:$J$31,10,FALSE)*1)</f>
        <v>1</v>
      </c>
      <c r="AF79" t="str">
        <f>VLOOKUP(Table1[[#This Row],[sheet]],Prg!$A$7:$J$31,5,FALSE)</f>
        <v>BELGIUM</v>
      </c>
      <c r="AG79">
        <f>ROW()</f>
        <v>79</v>
      </c>
    </row>
    <row r="80" spans="2:33" hidden="1" x14ac:dyDescent="0.25">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617697.15568497893</v>
      </c>
      <c r="AE80">
        <f>IF(VLOOKUP(Table1[[#This Row],[sheet]],Prg!$A$7:$J$31,10,FALSE)="","",VLOOKUP(Table1[[#This Row],[sheet]],Prg!$A$7:$J$31,10,FALSE)*1)</f>
        <v>1</v>
      </c>
      <c r="AF80" t="str">
        <f>VLOOKUP(Table1[[#This Row],[sheet]],Prg!$A$7:$J$31,5,FALSE)</f>
        <v>BELGIUM</v>
      </c>
      <c r="AG80">
        <f>ROW()</f>
        <v>80</v>
      </c>
    </row>
    <row r="81" spans="24:33" hidden="1" x14ac:dyDescent="0.25">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0</v>
      </c>
      <c r="AE81">
        <f>IF(VLOOKUP(Table1[[#This Row],[sheet]],Prg!$A$7:$J$31,10,FALSE)="","",VLOOKUP(Table1[[#This Row],[sheet]],Prg!$A$7:$J$31,10,FALSE)*1)</f>
        <v>1</v>
      </c>
      <c r="AF81" t="str">
        <f>VLOOKUP(Table1[[#This Row],[sheet]],Prg!$A$7:$J$31,5,FALSE)</f>
        <v>BELGIUM</v>
      </c>
      <c r="AG81">
        <f>ROW()</f>
        <v>81</v>
      </c>
    </row>
    <row r="82" spans="24:33" hidden="1" x14ac:dyDescent="0.25">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169000</v>
      </c>
      <c r="AE82">
        <f>IF(VLOOKUP(Table1[[#This Row],[sheet]],Prg!$A$7:$J$31,10,FALSE)="","",VLOOKUP(Table1[[#This Row],[sheet]],Prg!$A$7:$J$31,10,FALSE)*1)</f>
        <v>1</v>
      </c>
      <c r="AF82" t="str">
        <f>VLOOKUP(Table1[[#This Row],[sheet]],Prg!$A$7:$J$31,5,FALSE)</f>
        <v>BELGIUM</v>
      </c>
      <c r="AG82">
        <f>ROW()</f>
        <v>82</v>
      </c>
    </row>
    <row r="83" spans="24:33" hidden="1" x14ac:dyDescent="0.25">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448697.15568497899</v>
      </c>
      <c r="AE83">
        <f>IF(VLOOKUP(Table1[[#This Row],[sheet]],Prg!$A$7:$J$31,10,FALSE)="","",VLOOKUP(Table1[[#This Row],[sheet]],Prg!$A$7:$J$31,10,FALSE)*1)</f>
        <v>1</v>
      </c>
      <c r="AF83" t="str">
        <f>VLOOKUP(Table1[[#This Row],[sheet]],Prg!$A$7:$J$31,5,FALSE)</f>
        <v>BELGIUM</v>
      </c>
      <c r="AG83">
        <f>ROW()</f>
        <v>83</v>
      </c>
    </row>
    <row r="84" spans="24:33" hidden="1" x14ac:dyDescent="0.25">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617697.15568497893</v>
      </c>
      <c r="AE84">
        <f>IF(VLOOKUP(Table1[[#This Row],[sheet]],Prg!$A$7:$J$31,10,FALSE)="","",VLOOKUP(Table1[[#This Row],[sheet]],Prg!$A$7:$J$31,10,FALSE)*1)</f>
        <v>1</v>
      </c>
      <c r="AF84" t="str">
        <f>VLOOKUP(Table1[[#This Row],[sheet]],Prg!$A$7:$J$31,5,FALSE)</f>
        <v>BELGIUM</v>
      </c>
      <c r="AG84">
        <f>ROW()</f>
        <v>84</v>
      </c>
    </row>
    <row r="85" spans="24:33" hidden="1" x14ac:dyDescent="0.25">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0</v>
      </c>
      <c r="AE85">
        <f>IF(VLOOKUP(Table1[[#This Row],[sheet]],Prg!$A$7:$J$31,10,FALSE)="","",VLOOKUP(Table1[[#This Row],[sheet]],Prg!$A$7:$J$31,10,FALSE)*1)</f>
        <v>1</v>
      </c>
      <c r="AF85" t="str">
        <f>VLOOKUP(Table1[[#This Row],[sheet]],Prg!$A$7:$J$31,5,FALSE)</f>
        <v>BELGIUM</v>
      </c>
      <c r="AG85">
        <f>ROW()</f>
        <v>85</v>
      </c>
    </row>
    <row r="86" spans="24:33" hidden="1" x14ac:dyDescent="0.25">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BELGIUM</v>
      </c>
      <c r="AG86">
        <f>ROW()</f>
        <v>86</v>
      </c>
    </row>
    <row r="87" spans="24:33" hidden="1" x14ac:dyDescent="0.25">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0</v>
      </c>
      <c r="AE87">
        <f>IF(VLOOKUP(Table1[[#This Row],[sheet]],Prg!$A$7:$J$31,10,FALSE)="","",VLOOKUP(Table1[[#This Row],[sheet]],Prg!$A$7:$J$31,10,FALSE)*1)</f>
        <v>1</v>
      </c>
      <c r="AF87" t="str">
        <f>VLOOKUP(Table1[[#This Row],[sheet]],Prg!$A$7:$J$31,5,FALSE)</f>
        <v>BELGIUM</v>
      </c>
      <c r="AG87">
        <f>ROW()</f>
        <v>87</v>
      </c>
    </row>
    <row r="88" spans="24:33" hidden="1" x14ac:dyDescent="0.25">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0</v>
      </c>
      <c r="AE88">
        <f>IF(VLOOKUP(Table1[[#This Row],[sheet]],Prg!$A$7:$J$31,10,FALSE)="","",VLOOKUP(Table1[[#This Row],[sheet]],Prg!$A$7:$J$31,10,FALSE)*1)</f>
        <v>1</v>
      </c>
      <c r="AF88" t="str">
        <f>VLOOKUP(Table1[[#This Row],[sheet]],Prg!$A$7:$J$31,5,FALSE)</f>
        <v>BELGIUM</v>
      </c>
      <c r="AG88">
        <f>ROW()</f>
        <v>88</v>
      </c>
    </row>
    <row r="89" spans="24:33" hidden="1" x14ac:dyDescent="0.25">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169000</v>
      </c>
      <c r="AE89">
        <f>IF(VLOOKUP(Table1[[#This Row],[sheet]],Prg!$A$7:$J$31,10,FALSE)="","",VLOOKUP(Table1[[#This Row],[sheet]],Prg!$A$7:$J$31,10,FALSE)*1)</f>
        <v>1</v>
      </c>
      <c r="AF89" t="str">
        <f>VLOOKUP(Table1[[#This Row],[sheet]],Prg!$A$7:$J$31,5,FALSE)</f>
        <v>BELGIUM</v>
      </c>
      <c r="AG89">
        <f>ROW()</f>
        <v>89</v>
      </c>
    </row>
    <row r="90" spans="24:33" hidden="1" x14ac:dyDescent="0.25">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2000</v>
      </c>
      <c r="AE90">
        <f>IF(VLOOKUP(Table1[[#This Row],[sheet]],Prg!$A$7:$J$31,10,FALSE)="","",VLOOKUP(Table1[[#This Row],[sheet]],Prg!$A$7:$J$31,10,FALSE)*1)</f>
        <v>1</v>
      </c>
      <c r="AF90" t="str">
        <f>VLOOKUP(Table1[[#This Row],[sheet]],Prg!$A$7:$J$31,5,FALSE)</f>
        <v>BELGIUM</v>
      </c>
      <c r="AG90">
        <f>ROW()</f>
        <v>90</v>
      </c>
    </row>
    <row r="91" spans="24:33" hidden="1" x14ac:dyDescent="0.25">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0</v>
      </c>
      <c r="AE91">
        <f>IF(VLOOKUP(Table1[[#This Row],[sheet]],Prg!$A$7:$J$31,10,FALSE)="","",VLOOKUP(Table1[[#This Row],[sheet]],Prg!$A$7:$J$31,10,FALSE)*1)</f>
        <v>1</v>
      </c>
      <c r="AF91" t="str">
        <f>VLOOKUP(Table1[[#This Row],[sheet]],Prg!$A$7:$J$31,5,FALSE)</f>
        <v>BELGIUM</v>
      </c>
      <c r="AG91">
        <f>ROW()</f>
        <v>91</v>
      </c>
    </row>
    <row r="92" spans="24:33" hidden="1" x14ac:dyDescent="0.25">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167000</v>
      </c>
      <c r="AE92">
        <f>IF(VLOOKUP(Table1[[#This Row],[sheet]],Prg!$A$7:$J$31,10,FALSE)="","",VLOOKUP(Table1[[#This Row],[sheet]],Prg!$A$7:$J$31,10,FALSE)*1)</f>
        <v>1</v>
      </c>
      <c r="AF92" t="str">
        <f>VLOOKUP(Table1[[#This Row],[sheet]],Prg!$A$7:$J$31,5,FALSE)</f>
        <v>BELGIUM</v>
      </c>
      <c r="AG92">
        <f>ROW()</f>
        <v>92</v>
      </c>
    </row>
    <row r="93" spans="24:33" hidden="1" x14ac:dyDescent="0.25">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448697.15568497899</v>
      </c>
      <c r="AE93">
        <f>IF(VLOOKUP(Table1[[#This Row],[sheet]],Prg!$A$7:$J$31,10,FALSE)="","",VLOOKUP(Table1[[#This Row],[sheet]],Prg!$A$7:$J$31,10,FALSE)*1)</f>
        <v>1</v>
      </c>
      <c r="AF93" t="str">
        <f>VLOOKUP(Table1[[#This Row],[sheet]],Prg!$A$7:$J$31,5,FALSE)</f>
        <v>BELGIUM</v>
      </c>
      <c r="AG93">
        <f>ROW()</f>
        <v>93</v>
      </c>
    </row>
    <row r="94" spans="24:33" hidden="1" x14ac:dyDescent="0.25">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448697.15568497899</v>
      </c>
      <c r="AE94">
        <f>IF(VLOOKUP(Table1[[#This Row],[sheet]],Prg!$A$7:$J$31,10,FALSE)="","",VLOOKUP(Table1[[#This Row],[sheet]],Prg!$A$7:$J$31,10,FALSE)*1)</f>
        <v>1</v>
      </c>
      <c r="AF94" t="str">
        <f>VLOOKUP(Table1[[#This Row],[sheet]],Prg!$A$7:$J$31,5,FALSE)</f>
        <v>BELGIUM</v>
      </c>
      <c r="AG94">
        <f>ROW()</f>
        <v>94</v>
      </c>
    </row>
    <row r="95" spans="24:33" hidden="1" x14ac:dyDescent="0.25">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BELGIUM</v>
      </c>
      <c r="AG95">
        <f>ROW()</f>
        <v>95</v>
      </c>
    </row>
    <row r="96" spans="24:33" hidden="1" x14ac:dyDescent="0.25">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0</v>
      </c>
      <c r="AE96">
        <f>IF(VLOOKUP(Table1[[#This Row],[sheet]],Prg!$A$7:$J$31,10,FALSE)="","",VLOOKUP(Table1[[#This Row],[sheet]],Prg!$A$7:$J$31,10,FALSE)*1)</f>
        <v>1</v>
      </c>
      <c r="AF96" t="str">
        <f>VLOOKUP(Table1[[#This Row],[sheet]],Prg!$A$7:$J$31,5,FALSE)</f>
        <v>BELGIUM</v>
      </c>
      <c r="AG96">
        <f>ROW()</f>
        <v>96</v>
      </c>
    </row>
    <row r="97" spans="24:33" hidden="1" x14ac:dyDescent="0.25">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BELGIUM</v>
      </c>
      <c r="AG97">
        <f>ROW()</f>
        <v>97</v>
      </c>
    </row>
    <row r="98" spans="24:33" hidden="1" x14ac:dyDescent="0.25">
      <c r="X98">
        <v>1</v>
      </c>
      <c r="Y98" s="53" t="s">
        <v>753</v>
      </c>
      <c r="Z98" s="53" t="s">
        <v>162</v>
      </c>
      <c r="AA98" s="53" t="str">
        <f>IF(OR(VLOOKUP(Table1[[#This Row],[sheet]],Prg!$A$7:$F$31,6,FALSE)=Prg!$O$2,VLOOKUP(Table1[[#This Row],[sheet]],Prg!$A$7:$F$31,6,FALSE)=Prg!$O$3),"Yes","No")</f>
        <v>Yes</v>
      </c>
      <c r="AB98" s="53">
        <v>2025</v>
      </c>
      <c r="AC98">
        <v>18</v>
      </c>
      <c r="AD98">
        <f ca="1">IF(ISERROR(VLOOKUP(Table1[[#This Row],[item]],INDIRECT("'"&amp;Table1[[#This Row],[sheet]]&amp;"'!$A$8:$T$42"),Table1[[#This Row],[r]],FALSE)),"",VLOOKUP(Table1[[#This Row],[item]],INDIRECT("'"&amp;Table1[[#This Row],[sheet]]&amp;"'!$A$8:$T$42"),Table1[[#This Row],[r]],FALSE))</f>
        <v>0</v>
      </c>
      <c r="AE98">
        <f>IF(VLOOKUP(Table1[[#This Row],[sheet]],Prg!$A$7:$J$31,10,FALSE)="","",VLOOKUP(Table1[[#This Row],[sheet]],Prg!$A$7:$J$31,10,FALSE)*1)</f>
        <v>1</v>
      </c>
      <c r="AF98" t="str">
        <f>VLOOKUP(Table1[[#This Row],[sheet]],Prg!$A$7:$J$31,5,FALSE)</f>
        <v>BELGIUM</v>
      </c>
      <c r="AG98">
        <f>ROW()</f>
        <v>98</v>
      </c>
    </row>
    <row r="99" spans="24:33" hidden="1" x14ac:dyDescent="0.25">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BELGIUM</v>
      </c>
      <c r="AG99">
        <f>ROW()</f>
        <v>99</v>
      </c>
    </row>
    <row r="100" spans="24:33" hidden="1" x14ac:dyDescent="0.25">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0</v>
      </c>
      <c r="AE100">
        <f>IF(VLOOKUP(Table1[[#This Row],[sheet]],Prg!$A$7:$J$31,10,FALSE)="","",VLOOKUP(Table1[[#This Row],[sheet]],Prg!$A$7:$J$31,10,FALSE)*1)</f>
        <v>1</v>
      </c>
      <c r="AF100" t="str">
        <f>VLOOKUP(Table1[[#This Row],[sheet]],Prg!$A$7:$J$31,5,FALSE)</f>
        <v>BELGIUM</v>
      </c>
      <c r="AG100">
        <f>ROW()</f>
        <v>100</v>
      </c>
    </row>
    <row r="101" spans="24:33" hidden="1" x14ac:dyDescent="0.25">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BELGIUM</v>
      </c>
      <c r="AG101">
        <f>ROW()</f>
        <v>101</v>
      </c>
    </row>
    <row r="102" spans="24:33" hidden="1" x14ac:dyDescent="0.25">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BELGIUM</v>
      </c>
      <c r="AG102">
        <f>ROW()</f>
        <v>102</v>
      </c>
    </row>
    <row r="103" spans="24:33" hidden="1" x14ac:dyDescent="0.25">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BELGIUM</v>
      </c>
      <c r="AG103">
        <f>ROW()</f>
        <v>103</v>
      </c>
    </row>
    <row r="104" spans="24:33" hidden="1" x14ac:dyDescent="0.25">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BELGIUM</v>
      </c>
      <c r="AG104">
        <f>ROW()</f>
        <v>104</v>
      </c>
    </row>
    <row r="105" spans="24:33" hidden="1" x14ac:dyDescent="0.25">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BELGIUM</v>
      </c>
      <c r="AG105">
        <f>ROW()</f>
        <v>105</v>
      </c>
    </row>
    <row r="106" spans="24:33" hidden="1" x14ac:dyDescent="0.25">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0</v>
      </c>
      <c r="AE106">
        <f>IF(VLOOKUP(Table1[[#This Row],[sheet]],Prg!$A$7:$J$31,10,FALSE)="","",VLOOKUP(Table1[[#This Row],[sheet]],Prg!$A$7:$J$31,10,FALSE)*1)</f>
        <v>1</v>
      </c>
      <c r="AF106" t="str">
        <f>VLOOKUP(Table1[[#This Row],[sheet]],Prg!$A$7:$J$31,5,FALSE)</f>
        <v>BELGIUM</v>
      </c>
      <c r="AG106">
        <f>ROW()</f>
        <v>106</v>
      </c>
    </row>
    <row r="107" spans="24:33" hidden="1" x14ac:dyDescent="0.25">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BELGIUM</v>
      </c>
      <c r="AG107">
        <f>ROW()</f>
        <v>107</v>
      </c>
    </row>
    <row r="108" spans="24:33" hidden="1" x14ac:dyDescent="0.25">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0</v>
      </c>
      <c r="AE108">
        <f>IF(VLOOKUP(Table1[[#This Row],[sheet]],Prg!$A$7:$J$31,10,FALSE)="","",VLOOKUP(Table1[[#This Row],[sheet]],Prg!$A$7:$J$31,10,FALSE)*1)</f>
        <v>1</v>
      </c>
      <c r="AF108" t="str">
        <f>VLOOKUP(Table1[[#This Row],[sheet]],Prg!$A$7:$J$31,5,FALSE)</f>
        <v>BELGIUM</v>
      </c>
      <c r="AG108">
        <f>ROW()</f>
        <v>108</v>
      </c>
    </row>
    <row r="109" spans="24:33" hidden="1" x14ac:dyDescent="0.25">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0</v>
      </c>
      <c r="AE109">
        <f>IF(VLOOKUP(Table1[[#This Row],[sheet]],Prg!$A$7:$J$31,10,FALSE)="","",VLOOKUP(Table1[[#This Row],[sheet]],Prg!$A$7:$J$31,10,FALSE)*1)</f>
        <v>1</v>
      </c>
      <c r="AF109" t="str">
        <f>VLOOKUP(Table1[[#This Row],[sheet]],Prg!$A$7:$J$31,5,FALSE)</f>
        <v>BELGIUM</v>
      </c>
      <c r="AG109">
        <f>ROW()</f>
        <v>109</v>
      </c>
    </row>
    <row r="110" spans="24:33" hidden="1" x14ac:dyDescent="0.25">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639935.75887253601</v>
      </c>
      <c r="AE110">
        <f>IF(VLOOKUP(Table1[[#This Row],[sheet]],Prg!$A$7:$J$31,10,FALSE)="","",VLOOKUP(Table1[[#This Row],[sheet]],Prg!$A$7:$J$31,10,FALSE)*1)</f>
        <v>1</v>
      </c>
      <c r="AF110" t="str">
        <f>VLOOKUP(Table1[[#This Row],[sheet]],Prg!$A$7:$J$31,5,FALSE)</f>
        <v>BELGIUM</v>
      </c>
      <c r="AG110">
        <f>ROW()</f>
        <v>110</v>
      </c>
    </row>
    <row r="111" spans="24:33" hidden="1" x14ac:dyDescent="0.25">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0</v>
      </c>
      <c r="AE111">
        <f>IF(VLOOKUP(Table1[[#This Row],[sheet]],Prg!$A$7:$J$31,10,FALSE)="","",VLOOKUP(Table1[[#This Row],[sheet]],Prg!$A$7:$J$31,10,FALSE)*1)</f>
        <v>1</v>
      </c>
      <c r="AF111" t="str">
        <f>VLOOKUP(Table1[[#This Row],[sheet]],Prg!$A$7:$J$31,5,FALSE)</f>
        <v>BELGIUM</v>
      </c>
      <c r="AG111">
        <f>ROW()</f>
        <v>111</v>
      </c>
    </row>
    <row r="112" spans="24:33" hidden="1" x14ac:dyDescent="0.25">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169000</v>
      </c>
      <c r="AE112">
        <f>IF(VLOOKUP(Table1[[#This Row],[sheet]],Prg!$A$7:$J$31,10,FALSE)="","",VLOOKUP(Table1[[#This Row],[sheet]],Prg!$A$7:$J$31,10,FALSE)*1)</f>
        <v>1</v>
      </c>
      <c r="AF112" t="str">
        <f>VLOOKUP(Table1[[#This Row],[sheet]],Prg!$A$7:$J$31,5,FALSE)</f>
        <v>BELGIUM</v>
      </c>
      <c r="AG112">
        <f>ROW()</f>
        <v>112</v>
      </c>
    </row>
    <row r="113" spans="24:33" hidden="1" x14ac:dyDescent="0.25">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470935.75887253601</v>
      </c>
      <c r="AE113">
        <f>IF(VLOOKUP(Table1[[#This Row],[sheet]],Prg!$A$7:$J$31,10,FALSE)="","",VLOOKUP(Table1[[#This Row],[sheet]],Prg!$A$7:$J$31,10,FALSE)*1)</f>
        <v>1</v>
      </c>
      <c r="AF113" t="str">
        <f>VLOOKUP(Table1[[#This Row],[sheet]],Prg!$A$7:$J$31,5,FALSE)</f>
        <v>BELGIUM</v>
      </c>
      <c r="AG113">
        <f>ROW()</f>
        <v>113</v>
      </c>
    </row>
    <row r="114" spans="24:33" hidden="1" x14ac:dyDescent="0.25">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639935.75887253601</v>
      </c>
      <c r="AE114">
        <f>IF(VLOOKUP(Table1[[#This Row],[sheet]],Prg!$A$7:$J$31,10,FALSE)="","",VLOOKUP(Table1[[#This Row],[sheet]],Prg!$A$7:$J$31,10,FALSE)*1)</f>
        <v>1</v>
      </c>
      <c r="AF114" t="str">
        <f>VLOOKUP(Table1[[#This Row],[sheet]],Prg!$A$7:$J$31,5,FALSE)</f>
        <v>BELGIUM</v>
      </c>
      <c r="AG114">
        <f>ROW()</f>
        <v>114</v>
      </c>
    </row>
    <row r="115" spans="24:33" hidden="1" x14ac:dyDescent="0.25">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0</v>
      </c>
      <c r="AE115">
        <f>IF(VLOOKUP(Table1[[#This Row],[sheet]],Prg!$A$7:$J$31,10,FALSE)="","",VLOOKUP(Table1[[#This Row],[sheet]],Prg!$A$7:$J$31,10,FALSE)*1)</f>
        <v>1</v>
      </c>
      <c r="AF115" t="str">
        <f>VLOOKUP(Table1[[#This Row],[sheet]],Prg!$A$7:$J$31,5,FALSE)</f>
        <v>BELGIUM</v>
      </c>
      <c r="AG115">
        <f>ROW()</f>
        <v>115</v>
      </c>
    </row>
    <row r="116" spans="24:33" hidden="1" x14ac:dyDescent="0.25">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0</v>
      </c>
      <c r="AE116">
        <f>IF(VLOOKUP(Table1[[#This Row],[sheet]],Prg!$A$7:$J$31,10,FALSE)="","",VLOOKUP(Table1[[#This Row],[sheet]],Prg!$A$7:$J$31,10,FALSE)*1)</f>
        <v>1</v>
      </c>
      <c r="AF116" t="str">
        <f>VLOOKUP(Table1[[#This Row],[sheet]],Prg!$A$7:$J$31,5,FALSE)</f>
        <v>BELGIUM</v>
      </c>
      <c r="AG116">
        <f>ROW()</f>
        <v>116</v>
      </c>
    </row>
    <row r="117" spans="24:33" hidden="1" x14ac:dyDescent="0.25">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0</v>
      </c>
      <c r="AE117">
        <f>IF(VLOOKUP(Table1[[#This Row],[sheet]],Prg!$A$7:$J$31,10,FALSE)="","",VLOOKUP(Table1[[#This Row],[sheet]],Prg!$A$7:$J$31,10,FALSE)*1)</f>
        <v>1</v>
      </c>
      <c r="AF117" t="str">
        <f>VLOOKUP(Table1[[#This Row],[sheet]],Prg!$A$7:$J$31,5,FALSE)</f>
        <v>BELGIUM</v>
      </c>
      <c r="AG117">
        <f>ROW()</f>
        <v>117</v>
      </c>
    </row>
    <row r="118" spans="24:33" hidden="1" x14ac:dyDescent="0.25">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0</v>
      </c>
      <c r="AE118">
        <f>IF(VLOOKUP(Table1[[#This Row],[sheet]],Prg!$A$7:$J$31,10,FALSE)="","",VLOOKUP(Table1[[#This Row],[sheet]],Prg!$A$7:$J$31,10,FALSE)*1)</f>
        <v>1</v>
      </c>
      <c r="AF118" t="str">
        <f>VLOOKUP(Table1[[#This Row],[sheet]],Prg!$A$7:$J$31,5,FALSE)</f>
        <v>BELGIUM</v>
      </c>
      <c r="AG118">
        <f>ROW()</f>
        <v>118</v>
      </c>
    </row>
    <row r="119" spans="24:33" hidden="1" x14ac:dyDescent="0.25">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169000</v>
      </c>
      <c r="AE119">
        <f>IF(VLOOKUP(Table1[[#This Row],[sheet]],Prg!$A$7:$J$31,10,FALSE)="","",VLOOKUP(Table1[[#This Row],[sheet]],Prg!$A$7:$J$31,10,FALSE)*1)</f>
        <v>1</v>
      </c>
      <c r="AF119" t="str">
        <f>VLOOKUP(Table1[[#This Row],[sheet]],Prg!$A$7:$J$31,5,FALSE)</f>
        <v>BELGIUM</v>
      </c>
      <c r="AG119">
        <f>ROW()</f>
        <v>119</v>
      </c>
    </row>
    <row r="120" spans="24:33" hidden="1" x14ac:dyDescent="0.25">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2000</v>
      </c>
      <c r="AE120">
        <f>IF(VLOOKUP(Table1[[#This Row],[sheet]],Prg!$A$7:$J$31,10,FALSE)="","",VLOOKUP(Table1[[#This Row],[sheet]],Prg!$A$7:$J$31,10,FALSE)*1)</f>
        <v>1</v>
      </c>
      <c r="AF120" t="str">
        <f>VLOOKUP(Table1[[#This Row],[sheet]],Prg!$A$7:$J$31,5,FALSE)</f>
        <v>BELGIUM</v>
      </c>
      <c r="AG120">
        <f>ROW()</f>
        <v>120</v>
      </c>
    </row>
    <row r="121" spans="24:33" hidden="1" x14ac:dyDescent="0.25">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0</v>
      </c>
      <c r="AE121">
        <f>IF(VLOOKUP(Table1[[#This Row],[sheet]],Prg!$A$7:$J$31,10,FALSE)="","",VLOOKUP(Table1[[#This Row],[sheet]],Prg!$A$7:$J$31,10,FALSE)*1)</f>
        <v>1</v>
      </c>
      <c r="AF121" t="str">
        <f>VLOOKUP(Table1[[#This Row],[sheet]],Prg!$A$7:$J$31,5,FALSE)</f>
        <v>BELGIUM</v>
      </c>
      <c r="AG121">
        <f>ROW()</f>
        <v>121</v>
      </c>
    </row>
    <row r="122" spans="24:33" hidden="1" x14ac:dyDescent="0.25">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167000</v>
      </c>
      <c r="AE122">
        <f>IF(VLOOKUP(Table1[[#This Row],[sheet]],Prg!$A$7:$J$31,10,FALSE)="","",VLOOKUP(Table1[[#This Row],[sheet]],Prg!$A$7:$J$31,10,FALSE)*1)</f>
        <v>1</v>
      </c>
      <c r="AF122" t="str">
        <f>VLOOKUP(Table1[[#This Row],[sheet]],Prg!$A$7:$J$31,5,FALSE)</f>
        <v>BELGIUM</v>
      </c>
      <c r="AG122">
        <f>ROW()</f>
        <v>122</v>
      </c>
    </row>
    <row r="123" spans="24:33" hidden="1" x14ac:dyDescent="0.25">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470935.75887253601</v>
      </c>
      <c r="AE123">
        <f>IF(VLOOKUP(Table1[[#This Row],[sheet]],Prg!$A$7:$J$31,10,FALSE)="","",VLOOKUP(Table1[[#This Row],[sheet]],Prg!$A$7:$J$31,10,FALSE)*1)</f>
        <v>1</v>
      </c>
      <c r="AF123" t="str">
        <f>VLOOKUP(Table1[[#This Row],[sheet]],Prg!$A$7:$J$31,5,FALSE)</f>
        <v>BELGIUM</v>
      </c>
      <c r="AG123">
        <f>ROW()</f>
        <v>123</v>
      </c>
    </row>
    <row r="124" spans="24:33" hidden="1" x14ac:dyDescent="0.25">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470935.75887253601</v>
      </c>
      <c r="AE124">
        <f>IF(VLOOKUP(Table1[[#This Row],[sheet]],Prg!$A$7:$J$31,10,FALSE)="","",VLOOKUP(Table1[[#This Row],[sheet]],Prg!$A$7:$J$31,10,FALSE)*1)</f>
        <v>1</v>
      </c>
      <c r="AF124" t="str">
        <f>VLOOKUP(Table1[[#This Row],[sheet]],Prg!$A$7:$J$31,5,FALSE)</f>
        <v>BELGIUM</v>
      </c>
      <c r="AG124">
        <f>ROW()</f>
        <v>124</v>
      </c>
    </row>
    <row r="125" spans="24:33" hidden="1" x14ac:dyDescent="0.25">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BELGIUM</v>
      </c>
      <c r="AG125">
        <f>ROW()</f>
        <v>125</v>
      </c>
    </row>
    <row r="126" spans="24:33" hidden="1" x14ac:dyDescent="0.25">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0</v>
      </c>
      <c r="AE126">
        <f>IF(VLOOKUP(Table1[[#This Row],[sheet]],Prg!$A$7:$J$31,10,FALSE)="","",VLOOKUP(Table1[[#This Row],[sheet]],Prg!$A$7:$J$31,10,FALSE)*1)</f>
        <v>1</v>
      </c>
      <c r="AF126" t="str">
        <f>VLOOKUP(Table1[[#This Row],[sheet]],Prg!$A$7:$J$31,5,FALSE)</f>
        <v>BELGIUM</v>
      </c>
      <c r="AG126">
        <f>ROW()</f>
        <v>126</v>
      </c>
    </row>
    <row r="127" spans="24:33" hidden="1" x14ac:dyDescent="0.25">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BELGIUM</v>
      </c>
      <c r="AG127">
        <f>ROW()</f>
        <v>127</v>
      </c>
    </row>
    <row r="128" spans="24:33" hidden="1" x14ac:dyDescent="0.25">
      <c r="X128">
        <v>1</v>
      </c>
      <c r="Y128" s="53" t="s">
        <v>753</v>
      </c>
      <c r="Z128" s="53" t="s">
        <v>162</v>
      </c>
      <c r="AA128" s="53" t="str">
        <f>IF(OR(VLOOKUP(Table1[[#This Row],[sheet]],Prg!$A$7:$F$31,6,FALSE)=Prg!$O$2,VLOOKUP(Table1[[#This Row],[sheet]],Prg!$A$7:$F$31,6,FALSE)=Prg!$O$3),"Yes","No")</f>
        <v>Yes</v>
      </c>
      <c r="AB128" s="53">
        <v>2026</v>
      </c>
      <c r="AC128">
        <v>19</v>
      </c>
      <c r="AD128">
        <f ca="1">IF(ISERROR(VLOOKUP(Table1[[#This Row],[item]],INDIRECT("'"&amp;Table1[[#This Row],[sheet]]&amp;"'!$A$8:$T$42"),Table1[[#This Row],[r]],FALSE)),"",VLOOKUP(Table1[[#This Row],[item]],INDIRECT("'"&amp;Table1[[#This Row],[sheet]]&amp;"'!$A$8:$T$42"),Table1[[#This Row],[r]],FALSE))</f>
        <v>0</v>
      </c>
      <c r="AE128">
        <f>IF(VLOOKUP(Table1[[#This Row],[sheet]],Prg!$A$7:$J$31,10,FALSE)="","",VLOOKUP(Table1[[#This Row],[sheet]],Prg!$A$7:$J$31,10,FALSE)*1)</f>
        <v>1</v>
      </c>
      <c r="AF128" t="str">
        <f>VLOOKUP(Table1[[#This Row],[sheet]],Prg!$A$7:$J$31,5,FALSE)</f>
        <v>BELGIUM</v>
      </c>
      <c r="AG128">
        <f>ROW()</f>
        <v>128</v>
      </c>
    </row>
    <row r="129" spans="24:33" hidden="1" x14ac:dyDescent="0.25">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BELGIUM</v>
      </c>
      <c r="AG129">
        <f>ROW()</f>
        <v>129</v>
      </c>
    </row>
    <row r="130" spans="24:33" hidden="1" x14ac:dyDescent="0.25">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0</v>
      </c>
      <c r="AE130">
        <f>IF(VLOOKUP(Table1[[#This Row],[sheet]],Prg!$A$7:$J$31,10,FALSE)="","",VLOOKUP(Table1[[#This Row],[sheet]],Prg!$A$7:$J$31,10,FALSE)*1)</f>
        <v>1</v>
      </c>
      <c r="AF130" t="str">
        <f>VLOOKUP(Table1[[#This Row],[sheet]],Prg!$A$7:$J$31,5,FALSE)</f>
        <v>BELGIUM</v>
      </c>
      <c r="AG130">
        <f>ROW()</f>
        <v>130</v>
      </c>
    </row>
    <row r="131" spans="24:33" hidden="1" x14ac:dyDescent="0.25">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BELGIUM</v>
      </c>
      <c r="AG131">
        <f>ROW()</f>
        <v>131</v>
      </c>
    </row>
    <row r="132" spans="24:33" hidden="1" x14ac:dyDescent="0.25">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BELGIUM</v>
      </c>
      <c r="AG132">
        <f>ROW()</f>
        <v>132</v>
      </c>
    </row>
    <row r="133" spans="24:33" hidden="1" x14ac:dyDescent="0.25">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BELGIUM</v>
      </c>
      <c r="AG133">
        <f>ROW()</f>
        <v>133</v>
      </c>
    </row>
    <row r="134" spans="24:33" hidden="1" x14ac:dyDescent="0.25">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BELGIUM</v>
      </c>
      <c r="AG134">
        <f>ROW()</f>
        <v>134</v>
      </c>
    </row>
    <row r="135" spans="24:33" hidden="1" x14ac:dyDescent="0.25">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BELGIUM</v>
      </c>
      <c r="AG135">
        <f>ROW()</f>
        <v>135</v>
      </c>
    </row>
    <row r="136" spans="24:33" hidden="1" x14ac:dyDescent="0.25">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0</v>
      </c>
      <c r="AE136">
        <f>IF(VLOOKUP(Table1[[#This Row],[sheet]],Prg!$A$7:$J$31,10,FALSE)="","",VLOOKUP(Table1[[#This Row],[sheet]],Prg!$A$7:$J$31,10,FALSE)*1)</f>
        <v>1</v>
      </c>
      <c r="AF136" t="str">
        <f>VLOOKUP(Table1[[#This Row],[sheet]],Prg!$A$7:$J$31,5,FALSE)</f>
        <v>BELGIUM</v>
      </c>
      <c r="AG136">
        <f>ROW()</f>
        <v>136</v>
      </c>
    </row>
    <row r="137" spans="24:33" hidden="1" x14ac:dyDescent="0.25">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BELGIUM</v>
      </c>
      <c r="AG137">
        <f>ROW()</f>
        <v>137</v>
      </c>
    </row>
    <row r="138" spans="24:33" hidden="1" x14ac:dyDescent="0.25">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0</v>
      </c>
      <c r="AE138">
        <f>IF(VLOOKUP(Table1[[#This Row],[sheet]],Prg!$A$7:$J$31,10,FALSE)="","",VLOOKUP(Table1[[#This Row],[sheet]],Prg!$A$7:$J$31,10,FALSE)*1)</f>
        <v>1</v>
      </c>
      <c r="AF138" t="str">
        <f>VLOOKUP(Table1[[#This Row],[sheet]],Prg!$A$7:$J$31,5,FALSE)</f>
        <v>BELGIUM</v>
      </c>
      <c r="AG138">
        <f>ROW()</f>
        <v>138</v>
      </c>
    </row>
    <row r="139" spans="24:33" hidden="1" x14ac:dyDescent="0.25">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0</v>
      </c>
      <c r="AE139">
        <f>IF(VLOOKUP(Table1[[#This Row],[sheet]],Prg!$A$7:$J$31,10,FALSE)="","",VLOOKUP(Table1[[#This Row],[sheet]],Prg!$A$7:$J$31,10,FALSE)*1)</f>
        <v>1</v>
      </c>
      <c r="AF139" t="str">
        <f>VLOOKUP(Table1[[#This Row],[sheet]],Prg!$A$7:$J$31,5,FALSE)</f>
        <v>BELGIUM</v>
      </c>
      <c r="AG139">
        <f>ROW()</f>
        <v>139</v>
      </c>
    </row>
    <row r="140" spans="24:33" hidden="1" x14ac:dyDescent="0.25">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583054.47404998646</v>
      </c>
      <c r="AE140">
        <f>IF(VLOOKUP(Table1[[#This Row],[sheet]],Prg!$A$7:$J$31,10,FALSE)="","",VLOOKUP(Table1[[#This Row],[sheet]],Prg!$A$7:$J$31,10,FALSE)*1)</f>
        <v>1</v>
      </c>
      <c r="AF140" t="str">
        <f>VLOOKUP(Table1[[#This Row],[sheet]],Prg!$A$7:$J$31,5,FALSE)</f>
        <v>BELGIUM</v>
      </c>
      <c r="AG140">
        <f>ROW()</f>
        <v>140</v>
      </c>
    </row>
    <row r="141" spans="24:33" hidden="1" x14ac:dyDescent="0.25">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BELGIUM</v>
      </c>
      <c r="AG141">
        <f>ROW()</f>
        <v>141</v>
      </c>
    </row>
    <row r="142" spans="24:33" hidden="1" x14ac:dyDescent="0.25">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169000</v>
      </c>
      <c r="AE142">
        <f>IF(VLOOKUP(Table1[[#This Row],[sheet]],Prg!$A$7:$J$31,10,FALSE)="","",VLOOKUP(Table1[[#This Row],[sheet]],Prg!$A$7:$J$31,10,FALSE)*1)</f>
        <v>1</v>
      </c>
      <c r="AF142" t="str">
        <f>VLOOKUP(Table1[[#This Row],[sheet]],Prg!$A$7:$J$31,5,FALSE)</f>
        <v>BELGIUM</v>
      </c>
      <c r="AG142">
        <f>ROW()</f>
        <v>142</v>
      </c>
    </row>
    <row r="143" spans="24:33" hidden="1" x14ac:dyDescent="0.25">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414054.47404998646</v>
      </c>
      <c r="AE143">
        <f>IF(VLOOKUP(Table1[[#This Row],[sheet]],Prg!$A$7:$J$31,10,FALSE)="","",VLOOKUP(Table1[[#This Row],[sheet]],Prg!$A$7:$J$31,10,FALSE)*1)</f>
        <v>1</v>
      </c>
      <c r="AF143" t="str">
        <f>VLOOKUP(Table1[[#This Row],[sheet]],Prg!$A$7:$J$31,5,FALSE)</f>
        <v>BELGIUM</v>
      </c>
      <c r="AG143">
        <f>ROW()</f>
        <v>143</v>
      </c>
    </row>
    <row r="144" spans="24:33" hidden="1" x14ac:dyDescent="0.25">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583054.47404998646</v>
      </c>
      <c r="AE144">
        <f>IF(VLOOKUP(Table1[[#This Row],[sheet]],Prg!$A$7:$J$31,10,FALSE)="","",VLOOKUP(Table1[[#This Row],[sheet]],Prg!$A$7:$J$31,10,FALSE)*1)</f>
        <v>1</v>
      </c>
      <c r="AF144" t="str">
        <f>VLOOKUP(Table1[[#This Row],[sheet]],Prg!$A$7:$J$31,5,FALSE)</f>
        <v>BELGIUM</v>
      </c>
      <c r="AG144">
        <f>ROW()</f>
        <v>144</v>
      </c>
    </row>
    <row r="145" spans="24:33" hidden="1" x14ac:dyDescent="0.25">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0</v>
      </c>
      <c r="AE145">
        <f>IF(VLOOKUP(Table1[[#This Row],[sheet]],Prg!$A$7:$J$31,10,FALSE)="","",VLOOKUP(Table1[[#This Row],[sheet]],Prg!$A$7:$J$31,10,FALSE)*1)</f>
        <v>1</v>
      </c>
      <c r="AF145" t="str">
        <f>VLOOKUP(Table1[[#This Row],[sheet]],Prg!$A$7:$J$31,5,FALSE)</f>
        <v>BELGIUM</v>
      </c>
      <c r="AG145">
        <f>ROW()</f>
        <v>145</v>
      </c>
    </row>
    <row r="146" spans="24:33" hidden="1" x14ac:dyDescent="0.25">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BELGIUM</v>
      </c>
      <c r="AG146">
        <f>ROW()</f>
        <v>146</v>
      </c>
    </row>
    <row r="147" spans="24:33" hidden="1" x14ac:dyDescent="0.25">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0</v>
      </c>
      <c r="AE147">
        <f>IF(VLOOKUP(Table1[[#This Row],[sheet]],Prg!$A$7:$J$31,10,FALSE)="","",VLOOKUP(Table1[[#This Row],[sheet]],Prg!$A$7:$J$31,10,FALSE)*1)</f>
        <v>1</v>
      </c>
      <c r="AF147" t="str">
        <f>VLOOKUP(Table1[[#This Row],[sheet]],Prg!$A$7:$J$31,5,FALSE)</f>
        <v>BELGIUM</v>
      </c>
      <c r="AG147">
        <f>ROW()</f>
        <v>147</v>
      </c>
    </row>
    <row r="148" spans="24:33" hidden="1" x14ac:dyDescent="0.25">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BELGIUM</v>
      </c>
      <c r="AG148">
        <f>ROW()</f>
        <v>148</v>
      </c>
    </row>
    <row r="149" spans="24:33" hidden="1" x14ac:dyDescent="0.25">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169000</v>
      </c>
      <c r="AE149">
        <f>IF(VLOOKUP(Table1[[#This Row],[sheet]],Prg!$A$7:$J$31,10,FALSE)="","",VLOOKUP(Table1[[#This Row],[sheet]],Prg!$A$7:$J$31,10,FALSE)*1)</f>
        <v>1</v>
      </c>
      <c r="AF149" t="str">
        <f>VLOOKUP(Table1[[#This Row],[sheet]],Prg!$A$7:$J$31,5,FALSE)</f>
        <v>BELGIUM</v>
      </c>
      <c r="AG149">
        <f>ROW()</f>
        <v>149</v>
      </c>
    </row>
    <row r="150" spans="24:33" hidden="1" x14ac:dyDescent="0.25">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2000</v>
      </c>
      <c r="AE150">
        <f>IF(VLOOKUP(Table1[[#This Row],[sheet]],Prg!$A$7:$J$31,10,FALSE)="","",VLOOKUP(Table1[[#This Row],[sheet]],Prg!$A$7:$J$31,10,FALSE)*1)</f>
        <v>1</v>
      </c>
      <c r="AF150" t="str">
        <f>VLOOKUP(Table1[[#This Row],[sheet]],Prg!$A$7:$J$31,5,FALSE)</f>
        <v>BELGIUM</v>
      </c>
      <c r="AG150">
        <f>ROW()</f>
        <v>150</v>
      </c>
    </row>
    <row r="151" spans="24:33" hidden="1" x14ac:dyDescent="0.25">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0</v>
      </c>
      <c r="AE151">
        <f>IF(VLOOKUP(Table1[[#This Row],[sheet]],Prg!$A$7:$J$31,10,FALSE)="","",VLOOKUP(Table1[[#This Row],[sheet]],Prg!$A$7:$J$31,10,FALSE)*1)</f>
        <v>1</v>
      </c>
      <c r="AF151" t="str">
        <f>VLOOKUP(Table1[[#This Row],[sheet]],Prg!$A$7:$J$31,5,FALSE)</f>
        <v>BELGIUM</v>
      </c>
      <c r="AG151">
        <f>ROW()</f>
        <v>151</v>
      </c>
    </row>
    <row r="152" spans="24:33" hidden="1" x14ac:dyDescent="0.25">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167000</v>
      </c>
      <c r="AE152">
        <f>IF(VLOOKUP(Table1[[#This Row],[sheet]],Prg!$A$7:$J$31,10,FALSE)="","",VLOOKUP(Table1[[#This Row],[sheet]],Prg!$A$7:$J$31,10,FALSE)*1)</f>
        <v>1</v>
      </c>
      <c r="AF152" t="str">
        <f>VLOOKUP(Table1[[#This Row],[sheet]],Prg!$A$7:$J$31,5,FALSE)</f>
        <v>BELGIUM</v>
      </c>
      <c r="AG152">
        <f>ROW()</f>
        <v>152</v>
      </c>
    </row>
    <row r="153" spans="24:33" hidden="1" x14ac:dyDescent="0.25">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414054.47404998646</v>
      </c>
      <c r="AE153">
        <f>IF(VLOOKUP(Table1[[#This Row],[sheet]],Prg!$A$7:$J$31,10,FALSE)="","",VLOOKUP(Table1[[#This Row],[sheet]],Prg!$A$7:$J$31,10,FALSE)*1)</f>
        <v>1</v>
      </c>
      <c r="AF153" t="str">
        <f>VLOOKUP(Table1[[#This Row],[sheet]],Prg!$A$7:$J$31,5,FALSE)</f>
        <v>BELGIUM</v>
      </c>
      <c r="AG153">
        <f>ROW()</f>
        <v>153</v>
      </c>
    </row>
    <row r="154" spans="24:33" hidden="1" x14ac:dyDescent="0.25">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414054.47404998646</v>
      </c>
      <c r="AE154">
        <f>IF(VLOOKUP(Table1[[#This Row],[sheet]],Prg!$A$7:$J$31,10,FALSE)="","",VLOOKUP(Table1[[#This Row],[sheet]],Prg!$A$7:$J$31,10,FALSE)*1)</f>
        <v>1</v>
      </c>
      <c r="AF154" t="str">
        <f>VLOOKUP(Table1[[#This Row],[sheet]],Prg!$A$7:$J$31,5,FALSE)</f>
        <v>BELGIUM</v>
      </c>
      <c r="AG154">
        <f>ROW()</f>
        <v>154</v>
      </c>
    </row>
    <row r="155" spans="24:33" hidden="1" x14ac:dyDescent="0.25">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BELGIUM</v>
      </c>
      <c r="AG155">
        <f>ROW()</f>
        <v>155</v>
      </c>
    </row>
    <row r="156" spans="24:33" hidden="1" x14ac:dyDescent="0.25">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0</v>
      </c>
      <c r="AE156">
        <f>IF(VLOOKUP(Table1[[#This Row],[sheet]],Prg!$A$7:$J$31,10,FALSE)="","",VLOOKUP(Table1[[#This Row],[sheet]],Prg!$A$7:$J$31,10,FALSE)*1)</f>
        <v>1</v>
      </c>
      <c r="AF156" t="str">
        <f>VLOOKUP(Table1[[#This Row],[sheet]],Prg!$A$7:$J$31,5,FALSE)</f>
        <v>BELGIUM</v>
      </c>
      <c r="AG156">
        <f>ROW()</f>
        <v>156</v>
      </c>
    </row>
    <row r="157" spans="24:33" hidden="1" x14ac:dyDescent="0.25">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BELGIUM</v>
      </c>
      <c r="AG157">
        <f>ROW()</f>
        <v>157</v>
      </c>
    </row>
    <row r="158" spans="24:33" hidden="1" x14ac:dyDescent="0.25">
      <c r="X158">
        <v>1</v>
      </c>
      <c r="Y158" s="53" t="s">
        <v>753</v>
      </c>
      <c r="Z158" s="53" t="s">
        <v>162</v>
      </c>
      <c r="AA158" s="53" t="str">
        <f>IF(OR(VLOOKUP(Table1[[#This Row],[sheet]],Prg!$A$7:$F$31,6,FALSE)=Prg!$O$2,VLOOKUP(Table1[[#This Row],[sheet]],Prg!$A$7:$F$31,6,FALSE)=Prg!$O$3),"Yes","No")</f>
        <v>Yes</v>
      </c>
      <c r="AB158" s="53" t="s">
        <v>78</v>
      </c>
      <c r="AC158">
        <v>20</v>
      </c>
      <c r="AD158">
        <f ca="1">IF(ISERROR(VLOOKUP(Table1[[#This Row],[item]],INDIRECT("'"&amp;Table1[[#This Row],[sheet]]&amp;"'!$A$8:$T$42"),Table1[[#This Row],[r]],FALSE)),"",VLOOKUP(Table1[[#This Row],[item]],INDIRECT("'"&amp;Table1[[#This Row],[sheet]]&amp;"'!$A$8:$T$42"),Table1[[#This Row],[r]],FALSE))</f>
        <v>0</v>
      </c>
      <c r="AE158">
        <f>IF(VLOOKUP(Table1[[#This Row],[sheet]],Prg!$A$7:$J$31,10,FALSE)="","",VLOOKUP(Table1[[#This Row],[sheet]],Prg!$A$7:$J$31,10,FALSE)*1)</f>
        <v>1</v>
      </c>
      <c r="AF158" t="str">
        <f>VLOOKUP(Table1[[#This Row],[sheet]],Prg!$A$7:$J$31,5,FALSE)</f>
        <v>BELGIUM</v>
      </c>
      <c r="AG158">
        <f>ROW()</f>
        <v>158</v>
      </c>
    </row>
    <row r="159" spans="24:33" hidden="1" x14ac:dyDescent="0.25">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0</v>
      </c>
      <c r="AE159">
        <f>IF(VLOOKUP(Table1[[#This Row],[sheet]],Prg!$A$7:$J$31,10,FALSE)="","",VLOOKUP(Table1[[#This Row],[sheet]],Prg!$A$7:$J$31,10,FALSE)*1)</f>
        <v>1</v>
      </c>
      <c r="AF159" t="str">
        <f>VLOOKUP(Table1[[#This Row],[sheet]],Prg!$A$7:$J$31,5,FALSE)</f>
        <v>BELGIUM</v>
      </c>
      <c r="AG159">
        <f>ROW()</f>
        <v>159</v>
      </c>
    </row>
    <row r="160" spans="24:33" hidden="1" x14ac:dyDescent="0.25">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0</v>
      </c>
      <c r="AE160">
        <f>IF(VLOOKUP(Table1[[#This Row],[sheet]],Prg!$A$7:$J$31,10,FALSE)="","",VLOOKUP(Table1[[#This Row],[sheet]],Prg!$A$7:$J$31,10,FALSE)*1)</f>
        <v>1</v>
      </c>
      <c r="AF160" t="str">
        <f>VLOOKUP(Table1[[#This Row],[sheet]],Prg!$A$7:$J$31,5,FALSE)</f>
        <v>BELGIUM</v>
      </c>
      <c r="AG160">
        <f>ROW()</f>
        <v>160</v>
      </c>
    </row>
    <row r="161" spans="24:33" hidden="1" x14ac:dyDescent="0.25">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0</v>
      </c>
      <c r="AE161">
        <f>IF(VLOOKUP(Table1[[#This Row],[sheet]],Prg!$A$7:$J$31,10,FALSE)="","",VLOOKUP(Table1[[#This Row],[sheet]],Prg!$A$7:$J$31,10,FALSE)*1)</f>
        <v>1</v>
      </c>
      <c r="AF161" t="str">
        <f>VLOOKUP(Table1[[#This Row],[sheet]],Prg!$A$7:$J$31,5,FALSE)</f>
        <v>BELGIUM</v>
      </c>
      <c r="AG161">
        <f>ROW()</f>
        <v>161</v>
      </c>
    </row>
    <row r="162" spans="24:33" hidden="1" x14ac:dyDescent="0.25">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BELGIUM</v>
      </c>
      <c r="AG162">
        <f>ROW()</f>
        <v>162</v>
      </c>
    </row>
    <row r="163" spans="24:33" hidden="1" x14ac:dyDescent="0.25">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BELGIUM</v>
      </c>
      <c r="AG163">
        <f>ROW()</f>
        <v>163</v>
      </c>
    </row>
    <row r="164" spans="24:33" hidden="1" x14ac:dyDescent="0.25">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BELGIUM</v>
      </c>
      <c r="AG164">
        <f>ROW()</f>
        <v>164</v>
      </c>
    </row>
    <row r="165" spans="24:33" hidden="1" x14ac:dyDescent="0.25">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BELGIUM</v>
      </c>
      <c r="AG165">
        <f>ROW()</f>
        <v>165</v>
      </c>
    </row>
    <row r="166" spans="24:33" hidden="1" x14ac:dyDescent="0.25">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0</v>
      </c>
      <c r="AE166">
        <f>IF(VLOOKUP(Table1[[#This Row],[sheet]],Prg!$A$7:$J$31,10,FALSE)="","",VLOOKUP(Table1[[#This Row],[sheet]],Prg!$A$7:$J$31,10,FALSE)*1)</f>
        <v>1</v>
      </c>
      <c r="AF166" t="str">
        <f>VLOOKUP(Table1[[#This Row],[sheet]],Prg!$A$7:$J$31,5,FALSE)</f>
        <v>BELGIUM</v>
      </c>
      <c r="AG166">
        <f>ROW()</f>
        <v>166</v>
      </c>
    </row>
    <row r="167" spans="24:33" hidden="1" x14ac:dyDescent="0.25">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BELGIUM</v>
      </c>
      <c r="AG167">
        <f>ROW()</f>
        <v>167</v>
      </c>
    </row>
    <row r="168" spans="24:33" hidden="1" x14ac:dyDescent="0.25">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0</v>
      </c>
      <c r="AE168">
        <f>IF(VLOOKUP(Table1[[#This Row],[sheet]],Prg!$A$7:$J$31,10,FALSE)="","",VLOOKUP(Table1[[#This Row],[sheet]],Prg!$A$7:$J$31,10,FALSE)*1)</f>
        <v>1</v>
      </c>
      <c r="AF168" t="str">
        <f>VLOOKUP(Table1[[#This Row],[sheet]],Prg!$A$7:$J$31,5,FALSE)</f>
        <v>BELGIUM</v>
      </c>
      <c r="AG168">
        <f>ROW()</f>
        <v>168</v>
      </c>
    </row>
    <row r="169" spans="24:33" hidden="1" x14ac:dyDescent="0.25">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0</v>
      </c>
      <c r="AE169">
        <f>IF(VLOOKUP(Table1[[#This Row],[sheet]],Prg!$A$7:$J$31,10,FALSE)="","",VLOOKUP(Table1[[#This Row],[sheet]],Prg!$A$7:$J$31,10,FALSE)*1)</f>
        <v>1</v>
      </c>
      <c r="AF169" t="str">
        <f>VLOOKUP(Table1[[#This Row],[sheet]],Prg!$A$7:$J$31,5,FALSE)</f>
        <v>BELGIUM</v>
      </c>
      <c r="AG169">
        <f>ROW()</f>
        <v>169</v>
      </c>
    </row>
    <row r="170" spans="24:33" hidden="1" x14ac:dyDescent="0.25">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3022378.3416272495</v>
      </c>
      <c r="AE170">
        <f>IF(VLOOKUP(Table1[[#This Row],[sheet]],Prg!$A$7:$J$31,10,FALSE)="","",VLOOKUP(Table1[[#This Row],[sheet]],Prg!$A$7:$J$31,10,FALSE)*1)</f>
        <v>1</v>
      </c>
      <c r="AF170" t="str">
        <f>VLOOKUP(Table1[[#This Row],[sheet]],Prg!$A$7:$J$31,5,FALSE)</f>
        <v>BELGIUM</v>
      </c>
      <c r="AG170">
        <f>ROW()</f>
        <v>170</v>
      </c>
    </row>
    <row r="171" spans="24:33" hidden="1" x14ac:dyDescent="0.25">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9600</v>
      </c>
      <c r="AE171">
        <f>IF(VLOOKUP(Table1[[#This Row],[sheet]],Prg!$A$7:$J$31,10,FALSE)="","",VLOOKUP(Table1[[#This Row],[sheet]],Prg!$A$7:$J$31,10,FALSE)*1)</f>
        <v>1</v>
      </c>
      <c r="AF171" t="str">
        <f>VLOOKUP(Table1[[#This Row],[sheet]],Prg!$A$7:$J$31,5,FALSE)</f>
        <v>BELGIUM</v>
      </c>
      <c r="AG171">
        <f>ROW()</f>
        <v>171</v>
      </c>
    </row>
    <row r="172" spans="24:33" hidden="1" x14ac:dyDescent="0.25">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845046.63</v>
      </c>
      <c r="AE172">
        <f>IF(VLOOKUP(Table1[[#This Row],[sheet]],Prg!$A$7:$J$31,10,FALSE)="","",VLOOKUP(Table1[[#This Row],[sheet]],Prg!$A$7:$J$31,10,FALSE)*1)</f>
        <v>1</v>
      </c>
      <c r="AF172" t="str">
        <f>VLOOKUP(Table1[[#This Row],[sheet]],Prg!$A$7:$J$31,5,FALSE)</f>
        <v>BELGIUM</v>
      </c>
      <c r="AG172">
        <f>ROW()</f>
        <v>172</v>
      </c>
    </row>
    <row r="173" spans="24:33" hidden="1" x14ac:dyDescent="0.25">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2167731.7116272496</v>
      </c>
      <c r="AE173">
        <f>IF(VLOOKUP(Table1[[#This Row],[sheet]],Prg!$A$7:$J$31,10,FALSE)="","",VLOOKUP(Table1[[#This Row],[sheet]],Prg!$A$7:$J$31,10,FALSE)*1)</f>
        <v>1</v>
      </c>
      <c r="AF173" t="str">
        <f>VLOOKUP(Table1[[#This Row],[sheet]],Prg!$A$7:$J$31,5,FALSE)</f>
        <v>BELGIUM</v>
      </c>
      <c r="AG173">
        <f>ROW()</f>
        <v>173</v>
      </c>
    </row>
    <row r="174" spans="24:33" hidden="1" x14ac:dyDescent="0.25">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3022378.3416272495</v>
      </c>
      <c r="AE174">
        <f>IF(VLOOKUP(Table1[[#This Row],[sheet]],Prg!$A$7:$J$31,10,FALSE)="","",VLOOKUP(Table1[[#This Row],[sheet]],Prg!$A$7:$J$31,10,FALSE)*1)</f>
        <v>1</v>
      </c>
      <c r="AF174" t="str">
        <f>VLOOKUP(Table1[[#This Row],[sheet]],Prg!$A$7:$J$31,5,FALSE)</f>
        <v>BELGIUM</v>
      </c>
      <c r="AG174">
        <f>ROW()</f>
        <v>174</v>
      </c>
    </row>
    <row r="175" spans="24:33" hidden="1" x14ac:dyDescent="0.25">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9600</v>
      </c>
      <c r="AE175">
        <f>IF(VLOOKUP(Table1[[#This Row],[sheet]],Prg!$A$7:$J$31,10,FALSE)="","",VLOOKUP(Table1[[#This Row],[sheet]],Prg!$A$7:$J$31,10,FALSE)*1)</f>
        <v>1</v>
      </c>
      <c r="AF175" t="str">
        <f>VLOOKUP(Table1[[#This Row],[sheet]],Prg!$A$7:$J$31,5,FALSE)</f>
        <v>BELGIUM</v>
      </c>
      <c r="AG175">
        <f>ROW()</f>
        <v>175</v>
      </c>
    </row>
    <row r="176" spans="24:33" hidden="1" x14ac:dyDescent="0.25">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0</v>
      </c>
      <c r="AE176">
        <f>IF(VLOOKUP(Table1[[#This Row],[sheet]],Prg!$A$7:$J$31,10,FALSE)="","",VLOOKUP(Table1[[#This Row],[sheet]],Prg!$A$7:$J$31,10,FALSE)*1)</f>
        <v>1</v>
      </c>
      <c r="AF176" t="str">
        <f>VLOOKUP(Table1[[#This Row],[sheet]],Prg!$A$7:$J$31,5,FALSE)</f>
        <v>BELGIUM</v>
      </c>
      <c r="AG176">
        <f>ROW()</f>
        <v>176</v>
      </c>
    </row>
    <row r="177" spans="24:33" hidden="1" x14ac:dyDescent="0.25">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9600</v>
      </c>
      <c r="AE177">
        <f>IF(VLOOKUP(Table1[[#This Row],[sheet]],Prg!$A$7:$J$31,10,FALSE)="","",VLOOKUP(Table1[[#This Row],[sheet]],Prg!$A$7:$J$31,10,FALSE)*1)</f>
        <v>1</v>
      </c>
      <c r="AF177" t="str">
        <f>VLOOKUP(Table1[[#This Row],[sheet]],Prg!$A$7:$J$31,5,FALSE)</f>
        <v>BELGIUM</v>
      </c>
      <c r="AG177">
        <f>ROW()</f>
        <v>177</v>
      </c>
    </row>
    <row r="178" spans="24:33" hidden="1" x14ac:dyDescent="0.25">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0</v>
      </c>
      <c r="AE178">
        <f>IF(VLOOKUP(Table1[[#This Row],[sheet]],Prg!$A$7:$J$31,10,FALSE)="","",VLOOKUP(Table1[[#This Row],[sheet]],Prg!$A$7:$J$31,10,FALSE)*1)</f>
        <v>1</v>
      </c>
      <c r="AF178" t="str">
        <f>VLOOKUP(Table1[[#This Row],[sheet]],Prg!$A$7:$J$31,5,FALSE)</f>
        <v>BELGIUM</v>
      </c>
      <c r="AG178">
        <f>ROW()</f>
        <v>178</v>
      </c>
    </row>
    <row r="179" spans="24:33" hidden="1" x14ac:dyDescent="0.25">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845046.63</v>
      </c>
      <c r="AE179">
        <f>IF(VLOOKUP(Table1[[#This Row],[sheet]],Prg!$A$7:$J$31,10,FALSE)="","",VLOOKUP(Table1[[#This Row],[sheet]],Prg!$A$7:$J$31,10,FALSE)*1)</f>
        <v>1</v>
      </c>
      <c r="AF179" t="str">
        <f>VLOOKUP(Table1[[#This Row],[sheet]],Prg!$A$7:$J$31,5,FALSE)</f>
        <v>BELGIUM</v>
      </c>
      <c r="AG179">
        <f>ROW()</f>
        <v>179</v>
      </c>
    </row>
    <row r="180" spans="24:33" hidden="1" x14ac:dyDescent="0.25">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10000</v>
      </c>
      <c r="AE180">
        <f>IF(VLOOKUP(Table1[[#This Row],[sheet]],Prg!$A$7:$J$31,10,FALSE)="","",VLOOKUP(Table1[[#This Row],[sheet]],Prg!$A$7:$J$31,10,FALSE)*1)</f>
        <v>1</v>
      </c>
      <c r="AF180" t="str">
        <f>VLOOKUP(Table1[[#This Row],[sheet]],Prg!$A$7:$J$31,5,FALSE)</f>
        <v>BELGIUM</v>
      </c>
      <c r="AG180">
        <f>ROW()</f>
        <v>180</v>
      </c>
    </row>
    <row r="181" spans="24:33" hidden="1" x14ac:dyDescent="0.25">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0</v>
      </c>
      <c r="AE181">
        <f>IF(VLOOKUP(Table1[[#This Row],[sheet]],Prg!$A$7:$J$31,10,FALSE)="","",VLOOKUP(Table1[[#This Row],[sheet]],Prg!$A$7:$J$31,10,FALSE)*1)</f>
        <v>1</v>
      </c>
      <c r="AF181" t="str">
        <f>VLOOKUP(Table1[[#This Row],[sheet]],Prg!$A$7:$J$31,5,FALSE)</f>
        <v>BELGIUM</v>
      </c>
      <c r="AG181">
        <f>ROW()</f>
        <v>181</v>
      </c>
    </row>
    <row r="182" spans="24:33" hidden="1" x14ac:dyDescent="0.25">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835046.63</v>
      </c>
      <c r="AE182">
        <f>IF(VLOOKUP(Table1[[#This Row],[sheet]],Prg!$A$7:$J$31,10,FALSE)="","",VLOOKUP(Table1[[#This Row],[sheet]],Prg!$A$7:$J$31,10,FALSE)*1)</f>
        <v>1</v>
      </c>
      <c r="AF182" t="str">
        <f>VLOOKUP(Table1[[#This Row],[sheet]],Prg!$A$7:$J$31,5,FALSE)</f>
        <v>BELGIUM</v>
      </c>
      <c r="AG182">
        <f>ROW()</f>
        <v>182</v>
      </c>
    </row>
    <row r="183" spans="24:33" hidden="1" x14ac:dyDescent="0.25">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2167731.7116272496</v>
      </c>
      <c r="AE183">
        <f>IF(VLOOKUP(Table1[[#This Row],[sheet]],Prg!$A$7:$J$31,10,FALSE)="","",VLOOKUP(Table1[[#This Row],[sheet]],Prg!$A$7:$J$31,10,FALSE)*1)</f>
        <v>1</v>
      </c>
      <c r="AF183" t="str">
        <f>VLOOKUP(Table1[[#This Row],[sheet]],Prg!$A$7:$J$31,5,FALSE)</f>
        <v>BELGIUM</v>
      </c>
      <c r="AG183">
        <f>ROW()</f>
        <v>183</v>
      </c>
    </row>
    <row r="184" spans="24:33" hidden="1" x14ac:dyDescent="0.25">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2167731.7116272496</v>
      </c>
      <c r="AE184">
        <f>IF(VLOOKUP(Table1[[#This Row],[sheet]],Prg!$A$7:$J$31,10,FALSE)="","",VLOOKUP(Table1[[#This Row],[sheet]],Prg!$A$7:$J$31,10,FALSE)*1)</f>
        <v>1</v>
      </c>
      <c r="AF184" t="str">
        <f>VLOOKUP(Table1[[#This Row],[sheet]],Prg!$A$7:$J$31,5,FALSE)</f>
        <v>BELGIUM</v>
      </c>
      <c r="AG184">
        <f>ROW()</f>
        <v>184</v>
      </c>
    </row>
    <row r="185" spans="24:33" hidden="1" x14ac:dyDescent="0.25">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BELGIUM</v>
      </c>
      <c r="AG185">
        <f>ROW()</f>
        <v>185</v>
      </c>
    </row>
    <row r="186" spans="24:33" hidden="1" x14ac:dyDescent="0.25">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0</v>
      </c>
      <c r="AE186">
        <f>IF(VLOOKUP(Table1[[#This Row],[sheet]],Prg!$A$7:$J$31,10,FALSE)="","",VLOOKUP(Table1[[#This Row],[sheet]],Prg!$A$7:$J$31,10,FALSE)*1)</f>
        <v>1</v>
      </c>
      <c r="AF186" t="str">
        <f>VLOOKUP(Table1[[#This Row],[sheet]],Prg!$A$7:$J$31,5,FALSE)</f>
        <v>BELGIUM</v>
      </c>
      <c r="AG186">
        <f>ROW()</f>
        <v>186</v>
      </c>
    </row>
    <row r="187" spans="24:33" hidden="1" x14ac:dyDescent="0.25">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BELGIUM</v>
      </c>
      <c r="AG187">
        <f>ROW()</f>
        <v>187</v>
      </c>
    </row>
    <row r="188" spans="24:33" hidden="1" x14ac:dyDescent="0.25">
      <c r="X188">
        <v>2</v>
      </c>
      <c r="Y188" s="53" t="s">
        <v>753</v>
      </c>
      <c r="Z188" s="53" t="s">
        <v>162</v>
      </c>
      <c r="AA188" s="53" t="str">
        <f>IF(OR(VLOOKUP(Table1[[#This Row],[sheet]],Prg!$A$7:$F$31,6,FALSE)=Prg!$O$2,VLOOKUP(Table1[[#This Row],[sheet]],Prg!$A$7:$F$31,6,FALSE)=Prg!$O$3),"Yes","No")</f>
        <v>Yes</v>
      </c>
      <c r="AB188" s="53">
        <v>2022</v>
      </c>
      <c r="AC188">
        <v>15</v>
      </c>
      <c r="AD188">
        <f ca="1">IF(ISERROR(VLOOKUP(Table1[[#This Row],[item]],INDIRECT("'"&amp;Table1[[#This Row],[sheet]]&amp;"'!$A$8:$T$42"),Table1[[#This Row],[r]],FALSE)),"",VLOOKUP(Table1[[#This Row],[item]],INDIRECT("'"&amp;Table1[[#This Row],[sheet]]&amp;"'!$A$8:$T$42"),Table1[[#This Row],[r]],FALSE))</f>
        <v>0</v>
      </c>
      <c r="AE188">
        <f>IF(VLOOKUP(Table1[[#This Row],[sheet]],Prg!$A$7:$J$31,10,FALSE)="","",VLOOKUP(Table1[[#This Row],[sheet]],Prg!$A$7:$J$31,10,FALSE)*1)</f>
        <v>1</v>
      </c>
      <c r="AF188" t="str">
        <f>VLOOKUP(Table1[[#This Row],[sheet]],Prg!$A$7:$J$31,5,FALSE)</f>
        <v>BELGIUM</v>
      </c>
      <c r="AG188">
        <f>ROW()</f>
        <v>188</v>
      </c>
    </row>
    <row r="189" spans="24:33" hidden="1" x14ac:dyDescent="0.25">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0</v>
      </c>
      <c r="AE189">
        <f>IF(VLOOKUP(Table1[[#This Row],[sheet]],Prg!$A$7:$J$31,10,FALSE)="","",VLOOKUP(Table1[[#This Row],[sheet]],Prg!$A$7:$J$31,10,FALSE)*1)</f>
        <v>1</v>
      </c>
      <c r="AF189" t="str">
        <f>VLOOKUP(Table1[[#This Row],[sheet]],Prg!$A$7:$J$31,5,FALSE)</f>
        <v>BELGIUM</v>
      </c>
      <c r="AG189">
        <f>ROW()</f>
        <v>189</v>
      </c>
    </row>
    <row r="190" spans="24:33" hidden="1" x14ac:dyDescent="0.25">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0</v>
      </c>
      <c r="AE190">
        <f>IF(VLOOKUP(Table1[[#This Row],[sheet]],Prg!$A$7:$J$31,10,FALSE)="","",VLOOKUP(Table1[[#This Row],[sheet]],Prg!$A$7:$J$31,10,FALSE)*1)</f>
        <v>1</v>
      </c>
      <c r="AF190" t="str">
        <f>VLOOKUP(Table1[[#This Row],[sheet]],Prg!$A$7:$J$31,5,FALSE)</f>
        <v>BELGIUM</v>
      </c>
      <c r="AG190">
        <f>ROW()</f>
        <v>190</v>
      </c>
    </row>
    <row r="191" spans="24:33" hidden="1" x14ac:dyDescent="0.25">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0</v>
      </c>
      <c r="AE191">
        <f>IF(VLOOKUP(Table1[[#This Row],[sheet]],Prg!$A$7:$J$31,10,FALSE)="","",VLOOKUP(Table1[[#This Row],[sheet]],Prg!$A$7:$J$31,10,FALSE)*1)</f>
        <v>1</v>
      </c>
      <c r="AF191" t="str">
        <f>VLOOKUP(Table1[[#This Row],[sheet]],Prg!$A$7:$J$31,5,FALSE)</f>
        <v>BELGIUM</v>
      </c>
      <c r="AG191">
        <f>ROW()</f>
        <v>191</v>
      </c>
    </row>
    <row r="192" spans="24:33" hidden="1" x14ac:dyDescent="0.25">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59000</v>
      </c>
      <c r="AE192">
        <f>IF(VLOOKUP(Table1[[#This Row],[sheet]],Prg!$A$7:$J$31,10,FALSE)="","",VLOOKUP(Table1[[#This Row],[sheet]],Prg!$A$7:$J$31,10,FALSE)*1)</f>
        <v>1</v>
      </c>
      <c r="AF192" t="str">
        <f>VLOOKUP(Table1[[#This Row],[sheet]],Prg!$A$7:$J$31,5,FALSE)</f>
        <v>BELGIUM</v>
      </c>
      <c r="AG192">
        <f>ROW()</f>
        <v>192</v>
      </c>
    </row>
    <row r="193" spans="24:33" hidden="1" x14ac:dyDescent="0.25">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BELGIUM</v>
      </c>
      <c r="AG193">
        <f>ROW()</f>
        <v>193</v>
      </c>
    </row>
    <row r="194" spans="24:33" hidden="1" x14ac:dyDescent="0.25">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53000</v>
      </c>
      <c r="AE194">
        <f>IF(VLOOKUP(Table1[[#This Row],[sheet]],Prg!$A$7:$J$31,10,FALSE)="","",VLOOKUP(Table1[[#This Row],[sheet]],Prg!$A$7:$J$31,10,FALSE)*1)</f>
        <v>1</v>
      </c>
      <c r="AF194" t="str">
        <f>VLOOKUP(Table1[[#This Row],[sheet]],Prg!$A$7:$J$31,5,FALSE)</f>
        <v>BELGIUM</v>
      </c>
      <c r="AG194">
        <f>ROW()</f>
        <v>194</v>
      </c>
    </row>
    <row r="195" spans="24:33" hidden="1" x14ac:dyDescent="0.25">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6000</v>
      </c>
      <c r="AE195">
        <f>IF(VLOOKUP(Table1[[#This Row],[sheet]],Prg!$A$7:$J$31,10,FALSE)="","",VLOOKUP(Table1[[#This Row],[sheet]],Prg!$A$7:$J$31,10,FALSE)*1)</f>
        <v>1</v>
      </c>
      <c r="AF195" t="str">
        <f>VLOOKUP(Table1[[#This Row],[sheet]],Prg!$A$7:$J$31,5,FALSE)</f>
        <v>BELGIUM</v>
      </c>
      <c r="AG195">
        <f>ROW()</f>
        <v>195</v>
      </c>
    </row>
    <row r="196" spans="24:33" hidden="1" x14ac:dyDescent="0.25">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0</v>
      </c>
      <c r="AE196">
        <f>IF(VLOOKUP(Table1[[#This Row],[sheet]],Prg!$A$7:$J$31,10,FALSE)="","",VLOOKUP(Table1[[#This Row],[sheet]],Prg!$A$7:$J$31,10,FALSE)*1)</f>
        <v>1</v>
      </c>
      <c r="AF196" t="str">
        <f>VLOOKUP(Table1[[#This Row],[sheet]],Prg!$A$7:$J$31,5,FALSE)</f>
        <v>BELGIUM</v>
      </c>
      <c r="AG196">
        <f>ROW()</f>
        <v>196</v>
      </c>
    </row>
    <row r="197" spans="24:33" hidden="1" x14ac:dyDescent="0.25">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0</v>
      </c>
      <c r="AE197">
        <f>IF(VLOOKUP(Table1[[#This Row],[sheet]],Prg!$A$7:$J$31,10,FALSE)="","",VLOOKUP(Table1[[#This Row],[sheet]],Prg!$A$7:$J$31,10,FALSE)*1)</f>
        <v>1</v>
      </c>
      <c r="AF197" t="str">
        <f>VLOOKUP(Table1[[#This Row],[sheet]],Prg!$A$7:$J$31,5,FALSE)</f>
        <v>BELGIUM</v>
      </c>
      <c r="AG197">
        <f>ROW()</f>
        <v>197</v>
      </c>
    </row>
    <row r="198" spans="24:33" hidden="1" x14ac:dyDescent="0.25">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0</v>
      </c>
      <c r="AE198">
        <f>IF(VLOOKUP(Table1[[#This Row],[sheet]],Prg!$A$7:$J$31,10,FALSE)="","",VLOOKUP(Table1[[#This Row],[sheet]],Prg!$A$7:$J$31,10,FALSE)*1)</f>
        <v>1</v>
      </c>
      <c r="AF198" t="str">
        <f>VLOOKUP(Table1[[#This Row],[sheet]],Prg!$A$7:$J$31,5,FALSE)</f>
        <v>BELGIUM</v>
      </c>
      <c r="AG198">
        <f>ROW()</f>
        <v>198</v>
      </c>
    </row>
    <row r="199" spans="24:33" hidden="1" x14ac:dyDescent="0.25">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0</v>
      </c>
      <c r="AE199">
        <f>IF(VLOOKUP(Table1[[#This Row],[sheet]],Prg!$A$7:$J$31,10,FALSE)="","",VLOOKUP(Table1[[#This Row],[sheet]],Prg!$A$7:$J$31,10,FALSE)*1)</f>
        <v>1</v>
      </c>
      <c r="AF199" t="str">
        <f>VLOOKUP(Table1[[#This Row],[sheet]],Prg!$A$7:$J$31,5,FALSE)</f>
        <v>BELGIUM</v>
      </c>
      <c r="AG199">
        <f>ROW()</f>
        <v>199</v>
      </c>
    </row>
    <row r="200" spans="24:33" hidden="1" x14ac:dyDescent="0.25">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296172.77232696279</v>
      </c>
      <c r="AE200">
        <f>IF(VLOOKUP(Table1[[#This Row],[sheet]],Prg!$A$7:$J$31,10,FALSE)="","",VLOOKUP(Table1[[#This Row],[sheet]],Prg!$A$7:$J$31,10,FALSE)*1)</f>
        <v>1</v>
      </c>
      <c r="AF200" t="str">
        <f>VLOOKUP(Table1[[#This Row],[sheet]],Prg!$A$7:$J$31,5,FALSE)</f>
        <v>BELGIUM</v>
      </c>
      <c r="AG200">
        <f>ROW()</f>
        <v>200</v>
      </c>
    </row>
    <row r="201" spans="24:33" hidden="1" x14ac:dyDescent="0.25">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BELGIUM</v>
      </c>
      <c r="AG201">
        <f>ROW()</f>
        <v>201</v>
      </c>
    </row>
    <row r="202" spans="24:33" hidden="1" x14ac:dyDescent="0.25">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82500</v>
      </c>
      <c r="AE202">
        <f>IF(VLOOKUP(Table1[[#This Row],[sheet]],Prg!$A$7:$J$31,10,FALSE)="","",VLOOKUP(Table1[[#This Row],[sheet]],Prg!$A$7:$J$31,10,FALSE)*1)</f>
        <v>1</v>
      </c>
      <c r="AF202" t="str">
        <f>VLOOKUP(Table1[[#This Row],[sheet]],Prg!$A$7:$J$31,5,FALSE)</f>
        <v>BELGIUM</v>
      </c>
      <c r="AG202">
        <f>ROW()</f>
        <v>202</v>
      </c>
    </row>
    <row r="203" spans="24:33" hidden="1" x14ac:dyDescent="0.25">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213672.77232696279</v>
      </c>
      <c r="AE203">
        <f>IF(VLOOKUP(Table1[[#This Row],[sheet]],Prg!$A$7:$J$31,10,FALSE)="","",VLOOKUP(Table1[[#This Row],[sheet]],Prg!$A$7:$J$31,10,FALSE)*1)</f>
        <v>1</v>
      </c>
      <c r="AF203" t="str">
        <f>VLOOKUP(Table1[[#This Row],[sheet]],Prg!$A$7:$J$31,5,FALSE)</f>
        <v>BELGIUM</v>
      </c>
      <c r="AG203">
        <f>ROW()</f>
        <v>203</v>
      </c>
    </row>
    <row r="204" spans="24:33" hidden="1" x14ac:dyDescent="0.25">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355172.77232696302</v>
      </c>
      <c r="AE204">
        <f>IF(VLOOKUP(Table1[[#This Row],[sheet]],Prg!$A$7:$J$31,10,FALSE)="","",VLOOKUP(Table1[[#This Row],[sheet]],Prg!$A$7:$J$31,10,FALSE)*1)</f>
        <v>1</v>
      </c>
      <c r="AF204" t="str">
        <f>VLOOKUP(Table1[[#This Row],[sheet]],Prg!$A$7:$J$31,5,FALSE)</f>
        <v>BELGIUM</v>
      </c>
      <c r="AG204">
        <f>ROW()</f>
        <v>204</v>
      </c>
    </row>
    <row r="205" spans="24:33" hidden="1" x14ac:dyDescent="0.25">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0</v>
      </c>
      <c r="AE205">
        <f>IF(VLOOKUP(Table1[[#This Row],[sheet]],Prg!$A$7:$J$31,10,FALSE)="","",VLOOKUP(Table1[[#This Row],[sheet]],Prg!$A$7:$J$31,10,FALSE)*1)</f>
        <v>1</v>
      </c>
      <c r="AF205" t="str">
        <f>VLOOKUP(Table1[[#This Row],[sheet]],Prg!$A$7:$J$31,5,FALSE)</f>
        <v>BELGIUM</v>
      </c>
      <c r="AG205">
        <f>ROW()</f>
        <v>205</v>
      </c>
    </row>
    <row r="206" spans="24:33" hidden="1" x14ac:dyDescent="0.25">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0</v>
      </c>
      <c r="AE206">
        <f>IF(VLOOKUP(Table1[[#This Row],[sheet]],Prg!$A$7:$J$31,10,FALSE)="","",VLOOKUP(Table1[[#This Row],[sheet]],Prg!$A$7:$J$31,10,FALSE)*1)</f>
        <v>1</v>
      </c>
      <c r="AF206" t="str">
        <f>VLOOKUP(Table1[[#This Row],[sheet]],Prg!$A$7:$J$31,5,FALSE)</f>
        <v>BELGIUM</v>
      </c>
      <c r="AG206">
        <f>ROW()</f>
        <v>206</v>
      </c>
    </row>
    <row r="207" spans="24:33" hidden="1" x14ac:dyDescent="0.25">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0</v>
      </c>
      <c r="AE207">
        <f>IF(VLOOKUP(Table1[[#This Row],[sheet]],Prg!$A$7:$J$31,10,FALSE)="","",VLOOKUP(Table1[[#This Row],[sheet]],Prg!$A$7:$J$31,10,FALSE)*1)</f>
        <v>1</v>
      </c>
      <c r="AF207" t="str">
        <f>VLOOKUP(Table1[[#This Row],[sheet]],Prg!$A$7:$J$31,5,FALSE)</f>
        <v>BELGIUM</v>
      </c>
      <c r="AG207">
        <f>ROW()</f>
        <v>207</v>
      </c>
    </row>
    <row r="208" spans="24:33" hidden="1" x14ac:dyDescent="0.25">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0</v>
      </c>
      <c r="AE208">
        <f>IF(VLOOKUP(Table1[[#This Row],[sheet]],Prg!$A$7:$J$31,10,FALSE)="","",VLOOKUP(Table1[[#This Row],[sheet]],Prg!$A$7:$J$31,10,FALSE)*1)</f>
        <v>1</v>
      </c>
      <c r="AF208" t="str">
        <f>VLOOKUP(Table1[[#This Row],[sheet]],Prg!$A$7:$J$31,5,FALSE)</f>
        <v>BELGIUM</v>
      </c>
      <c r="AG208">
        <f>ROW()</f>
        <v>208</v>
      </c>
    </row>
    <row r="209" spans="24:33" hidden="1" x14ac:dyDescent="0.25">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135500</v>
      </c>
      <c r="AE209">
        <f>IF(VLOOKUP(Table1[[#This Row],[sheet]],Prg!$A$7:$J$31,10,FALSE)="","",VLOOKUP(Table1[[#This Row],[sheet]],Prg!$A$7:$J$31,10,FALSE)*1)</f>
        <v>1</v>
      </c>
      <c r="AF209" t="str">
        <f>VLOOKUP(Table1[[#This Row],[sheet]],Prg!$A$7:$J$31,5,FALSE)</f>
        <v>BELGIUM</v>
      </c>
      <c r="AG209">
        <f>ROW()</f>
        <v>209</v>
      </c>
    </row>
    <row r="210" spans="24:33" hidden="1" x14ac:dyDescent="0.25">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5000</v>
      </c>
      <c r="AE210">
        <f>IF(VLOOKUP(Table1[[#This Row],[sheet]],Prg!$A$7:$J$31,10,FALSE)="","",VLOOKUP(Table1[[#This Row],[sheet]],Prg!$A$7:$J$31,10,FALSE)*1)</f>
        <v>1</v>
      </c>
      <c r="AF210" t="str">
        <f>VLOOKUP(Table1[[#This Row],[sheet]],Prg!$A$7:$J$31,5,FALSE)</f>
        <v>BELGIUM</v>
      </c>
      <c r="AG210">
        <f>ROW()</f>
        <v>210</v>
      </c>
    </row>
    <row r="211" spans="24:33" hidden="1" x14ac:dyDescent="0.25">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0</v>
      </c>
      <c r="AE211">
        <f>IF(VLOOKUP(Table1[[#This Row],[sheet]],Prg!$A$7:$J$31,10,FALSE)="","",VLOOKUP(Table1[[#This Row],[sheet]],Prg!$A$7:$J$31,10,FALSE)*1)</f>
        <v>1</v>
      </c>
      <c r="AF211" t="str">
        <f>VLOOKUP(Table1[[#This Row],[sheet]],Prg!$A$7:$J$31,5,FALSE)</f>
        <v>BELGIUM</v>
      </c>
      <c r="AG211">
        <f>ROW()</f>
        <v>211</v>
      </c>
    </row>
    <row r="212" spans="24:33" hidden="1" x14ac:dyDescent="0.25">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130500</v>
      </c>
      <c r="AE212">
        <f>IF(VLOOKUP(Table1[[#This Row],[sheet]],Prg!$A$7:$J$31,10,FALSE)="","",VLOOKUP(Table1[[#This Row],[sheet]],Prg!$A$7:$J$31,10,FALSE)*1)</f>
        <v>1</v>
      </c>
      <c r="AF212" t="str">
        <f>VLOOKUP(Table1[[#This Row],[sheet]],Prg!$A$7:$J$31,5,FALSE)</f>
        <v>BELGIUM</v>
      </c>
      <c r="AG212">
        <f>ROW()</f>
        <v>212</v>
      </c>
    </row>
    <row r="213" spans="24:33" hidden="1" x14ac:dyDescent="0.25">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219672.77232696299</v>
      </c>
      <c r="AE213">
        <f>IF(VLOOKUP(Table1[[#This Row],[sheet]],Prg!$A$7:$J$31,10,FALSE)="","",VLOOKUP(Table1[[#This Row],[sheet]],Prg!$A$7:$J$31,10,FALSE)*1)</f>
        <v>1</v>
      </c>
      <c r="AF213" t="str">
        <f>VLOOKUP(Table1[[#This Row],[sheet]],Prg!$A$7:$J$31,5,FALSE)</f>
        <v>BELGIUM</v>
      </c>
      <c r="AG213">
        <f>ROW()</f>
        <v>213</v>
      </c>
    </row>
    <row r="214" spans="24:33" hidden="1" x14ac:dyDescent="0.25">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219672.77232696299</v>
      </c>
      <c r="AE214">
        <f>IF(VLOOKUP(Table1[[#This Row],[sheet]],Prg!$A$7:$J$31,10,FALSE)="","",VLOOKUP(Table1[[#This Row],[sheet]],Prg!$A$7:$J$31,10,FALSE)*1)</f>
        <v>1</v>
      </c>
      <c r="AF214" t="str">
        <f>VLOOKUP(Table1[[#This Row],[sheet]],Prg!$A$7:$J$31,5,FALSE)</f>
        <v>BELGIUM</v>
      </c>
      <c r="AG214">
        <f>ROW()</f>
        <v>214</v>
      </c>
    </row>
    <row r="215" spans="24:33" hidden="1" x14ac:dyDescent="0.25">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0</v>
      </c>
      <c r="AE215">
        <f>IF(VLOOKUP(Table1[[#This Row],[sheet]],Prg!$A$7:$J$31,10,FALSE)="","",VLOOKUP(Table1[[#This Row],[sheet]],Prg!$A$7:$J$31,10,FALSE)*1)</f>
        <v>1</v>
      </c>
      <c r="AF215" t="str">
        <f>VLOOKUP(Table1[[#This Row],[sheet]],Prg!$A$7:$J$31,5,FALSE)</f>
        <v>BELGIUM</v>
      </c>
      <c r="AG215">
        <f>ROW()</f>
        <v>215</v>
      </c>
    </row>
    <row r="216" spans="24:33" hidden="1" x14ac:dyDescent="0.25">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0</v>
      </c>
      <c r="AE216">
        <f>IF(VLOOKUP(Table1[[#This Row],[sheet]],Prg!$A$7:$J$31,10,FALSE)="","",VLOOKUP(Table1[[#This Row],[sheet]],Prg!$A$7:$J$31,10,FALSE)*1)</f>
        <v>1</v>
      </c>
      <c r="AF216" t="str">
        <f>VLOOKUP(Table1[[#This Row],[sheet]],Prg!$A$7:$J$31,5,FALSE)</f>
        <v>BELGIUM</v>
      </c>
      <c r="AG216">
        <f>ROW()</f>
        <v>216</v>
      </c>
    </row>
    <row r="217" spans="24:33" hidden="1" x14ac:dyDescent="0.25">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0</v>
      </c>
      <c r="AE217">
        <f>IF(VLOOKUP(Table1[[#This Row],[sheet]],Prg!$A$7:$J$31,10,FALSE)="","",VLOOKUP(Table1[[#This Row],[sheet]],Prg!$A$7:$J$31,10,FALSE)*1)</f>
        <v>1</v>
      </c>
      <c r="AF217" t="str">
        <f>VLOOKUP(Table1[[#This Row],[sheet]],Prg!$A$7:$J$31,5,FALSE)</f>
        <v>BELGIUM</v>
      </c>
      <c r="AG217">
        <f>ROW()</f>
        <v>217</v>
      </c>
    </row>
    <row r="218" spans="24:33" hidden="1" x14ac:dyDescent="0.25">
      <c r="X218">
        <v>2</v>
      </c>
      <c r="Y218" s="53" t="s">
        <v>753</v>
      </c>
      <c r="Z218" s="53" t="s">
        <v>162</v>
      </c>
      <c r="AA218" s="53" t="str">
        <f>IF(OR(VLOOKUP(Table1[[#This Row],[sheet]],Prg!$A$7:$F$31,6,FALSE)=Prg!$O$2,VLOOKUP(Table1[[#This Row],[sheet]],Prg!$A$7:$F$31,6,FALSE)=Prg!$O$3),"Yes","No")</f>
        <v>Yes</v>
      </c>
      <c r="AB218" s="53">
        <v>2023</v>
      </c>
      <c r="AC218">
        <v>16</v>
      </c>
      <c r="AD218">
        <f ca="1">IF(ISERROR(VLOOKUP(Table1[[#This Row],[item]],INDIRECT("'"&amp;Table1[[#This Row],[sheet]]&amp;"'!$A$8:$T$42"),Table1[[#This Row],[r]],FALSE)),"",VLOOKUP(Table1[[#This Row],[item]],INDIRECT("'"&amp;Table1[[#This Row],[sheet]]&amp;"'!$A$8:$T$42"),Table1[[#This Row],[r]],FALSE))</f>
        <v>0</v>
      </c>
      <c r="AE218">
        <f>IF(VLOOKUP(Table1[[#This Row],[sheet]],Prg!$A$7:$J$31,10,FALSE)="","",VLOOKUP(Table1[[#This Row],[sheet]],Prg!$A$7:$J$31,10,FALSE)*1)</f>
        <v>1</v>
      </c>
      <c r="AF218" t="str">
        <f>VLOOKUP(Table1[[#This Row],[sheet]],Prg!$A$7:$J$31,5,FALSE)</f>
        <v>BELGIUM</v>
      </c>
      <c r="AG218">
        <f>ROW()</f>
        <v>218</v>
      </c>
    </row>
    <row r="219" spans="24:33" hidden="1" x14ac:dyDescent="0.25">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0</v>
      </c>
      <c r="AE219">
        <f>IF(VLOOKUP(Table1[[#This Row],[sheet]],Prg!$A$7:$J$31,10,FALSE)="","",VLOOKUP(Table1[[#This Row],[sheet]],Prg!$A$7:$J$31,10,FALSE)*1)</f>
        <v>1</v>
      </c>
      <c r="AF219" t="str">
        <f>VLOOKUP(Table1[[#This Row],[sheet]],Prg!$A$7:$J$31,5,FALSE)</f>
        <v>BELGIUM</v>
      </c>
      <c r="AG219">
        <f>ROW()</f>
        <v>219</v>
      </c>
    </row>
    <row r="220" spans="24:33" hidden="1" x14ac:dyDescent="0.25">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0</v>
      </c>
      <c r="AE220">
        <f>IF(VLOOKUP(Table1[[#This Row],[sheet]],Prg!$A$7:$J$31,10,FALSE)="","",VLOOKUP(Table1[[#This Row],[sheet]],Prg!$A$7:$J$31,10,FALSE)*1)</f>
        <v>1</v>
      </c>
      <c r="AF220" t="str">
        <f>VLOOKUP(Table1[[#This Row],[sheet]],Prg!$A$7:$J$31,5,FALSE)</f>
        <v>BELGIUM</v>
      </c>
      <c r="AG220">
        <f>ROW()</f>
        <v>220</v>
      </c>
    </row>
    <row r="221" spans="24:33" hidden="1" x14ac:dyDescent="0.25">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0</v>
      </c>
      <c r="AE221">
        <f>IF(VLOOKUP(Table1[[#This Row],[sheet]],Prg!$A$7:$J$31,10,FALSE)="","",VLOOKUP(Table1[[#This Row],[sheet]],Prg!$A$7:$J$31,10,FALSE)*1)</f>
        <v>1</v>
      </c>
      <c r="AF221" t="str">
        <f>VLOOKUP(Table1[[#This Row],[sheet]],Prg!$A$7:$J$31,5,FALSE)</f>
        <v>BELGIUM</v>
      </c>
      <c r="AG221">
        <f>ROW()</f>
        <v>221</v>
      </c>
    </row>
    <row r="222" spans="24:33" hidden="1" x14ac:dyDescent="0.25">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65200</v>
      </c>
      <c r="AE222">
        <f>IF(VLOOKUP(Table1[[#This Row],[sheet]],Prg!$A$7:$J$31,10,FALSE)="","",VLOOKUP(Table1[[#This Row],[sheet]],Prg!$A$7:$J$31,10,FALSE)*1)</f>
        <v>1</v>
      </c>
      <c r="AF222" t="str">
        <f>VLOOKUP(Table1[[#This Row],[sheet]],Prg!$A$7:$J$31,5,FALSE)</f>
        <v>BELGIUM</v>
      </c>
      <c r="AG222">
        <f>ROW()</f>
        <v>222</v>
      </c>
    </row>
    <row r="223" spans="24:33" hidden="1" x14ac:dyDescent="0.25">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BELGIUM</v>
      </c>
      <c r="AG223">
        <f>ROW()</f>
        <v>223</v>
      </c>
    </row>
    <row r="224" spans="24:33" hidden="1" x14ac:dyDescent="0.25">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58600</v>
      </c>
      <c r="AE224">
        <f>IF(VLOOKUP(Table1[[#This Row],[sheet]],Prg!$A$7:$J$31,10,FALSE)="","",VLOOKUP(Table1[[#This Row],[sheet]],Prg!$A$7:$J$31,10,FALSE)*1)</f>
        <v>1</v>
      </c>
      <c r="AF224" t="str">
        <f>VLOOKUP(Table1[[#This Row],[sheet]],Prg!$A$7:$J$31,5,FALSE)</f>
        <v>BELGIUM</v>
      </c>
      <c r="AG224">
        <f>ROW()</f>
        <v>224</v>
      </c>
    </row>
    <row r="225" spans="24:33" hidden="1" x14ac:dyDescent="0.25">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6600</v>
      </c>
      <c r="AE225">
        <f>IF(VLOOKUP(Table1[[#This Row],[sheet]],Prg!$A$7:$J$31,10,FALSE)="","",VLOOKUP(Table1[[#This Row],[sheet]],Prg!$A$7:$J$31,10,FALSE)*1)</f>
        <v>1</v>
      </c>
      <c r="AF225" t="str">
        <f>VLOOKUP(Table1[[#This Row],[sheet]],Prg!$A$7:$J$31,5,FALSE)</f>
        <v>BELGIUM</v>
      </c>
      <c r="AG225">
        <f>ROW()</f>
        <v>225</v>
      </c>
    </row>
    <row r="226" spans="24:33" hidden="1" x14ac:dyDescent="0.25">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0</v>
      </c>
      <c r="AE226">
        <f>IF(VLOOKUP(Table1[[#This Row],[sheet]],Prg!$A$7:$J$31,10,FALSE)="","",VLOOKUP(Table1[[#This Row],[sheet]],Prg!$A$7:$J$31,10,FALSE)*1)</f>
        <v>1</v>
      </c>
      <c r="AF226" t="str">
        <f>VLOOKUP(Table1[[#This Row],[sheet]],Prg!$A$7:$J$31,5,FALSE)</f>
        <v>BELGIUM</v>
      </c>
      <c r="AG226">
        <f>ROW()</f>
        <v>226</v>
      </c>
    </row>
    <row r="227" spans="24:33" hidden="1" x14ac:dyDescent="0.25">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0</v>
      </c>
      <c r="AE227">
        <f>IF(VLOOKUP(Table1[[#This Row],[sheet]],Prg!$A$7:$J$31,10,FALSE)="","",VLOOKUP(Table1[[#This Row],[sheet]],Prg!$A$7:$J$31,10,FALSE)*1)</f>
        <v>1</v>
      </c>
      <c r="AF227" t="str">
        <f>VLOOKUP(Table1[[#This Row],[sheet]],Prg!$A$7:$J$31,5,FALSE)</f>
        <v>BELGIUM</v>
      </c>
      <c r="AG227">
        <f>ROW()</f>
        <v>227</v>
      </c>
    </row>
    <row r="228" spans="24:33" hidden="1" x14ac:dyDescent="0.25">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0</v>
      </c>
      <c r="AE228">
        <f>IF(VLOOKUP(Table1[[#This Row],[sheet]],Prg!$A$7:$J$31,10,FALSE)="","",VLOOKUP(Table1[[#This Row],[sheet]],Prg!$A$7:$J$31,10,FALSE)*1)</f>
        <v>1</v>
      </c>
      <c r="AF228" t="str">
        <f>VLOOKUP(Table1[[#This Row],[sheet]],Prg!$A$7:$J$31,5,FALSE)</f>
        <v>BELGIUM</v>
      </c>
      <c r="AG228">
        <f>ROW()</f>
        <v>228</v>
      </c>
    </row>
    <row r="229" spans="24:33" hidden="1" x14ac:dyDescent="0.25">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0</v>
      </c>
      <c r="AE229">
        <f>IF(VLOOKUP(Table1[[#This Row],[sheet]],Prg!$A$7:$J$31,10,FALSE)="","",VLOOKUP(Table1[[#This Row],[sheet]],Prg!$A$7:$J$31,10,FALSE)*1)</f>
        <v>1</v>
      </c>
      <c r="AF229" t="str">
        <f>VLOOKUP(Table1[[#This Row],[sheet]],Prg!$A$7:$J$31,5,FALSE)</f>
        <v>BELGIUM</v>
      </c>
      <c r="AG229">
        <f>ROW()</f>
        <v>229</v>
      </c>
    </row>
    <row r="230" spans="24:33" hidden="1" x14ac:dyDescent="0.25">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240291.92587116398</v>
      </c>
      <c r="AE230">
        <f>IF(VLOOKUP(Table1[[#This Row],[sheet]],Prg!$A$7:$J$31,10,FALSE)="","",VLOOKUP(Table1[[#This Row],[sheet]],Prg!$A$7:$J$31,10,FALSE)*1)</f>
        <v>1</v>
      </c>
      <c r="AF230" t="str">
        <f>VLOOKUP(Table1[[#This Row],[sheet]],Prg!$A$7:$J$31,5,FALSE)</f>
        <v>BELGIUM</v>
      </c>
      <c r="AG230">
        <f>ROW()</f>
        <v>230</v>
      </c>
    </row>
    <row r="231" spans="24:33" hidden="1" x14ac:dyDescent="0.25">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BELGIUM</v>
      </c>
      <c r="AG231">
        <f>ROW()</f>
        <v>231</v>
      </c>
    </row>
    <row r="232" spans="24:33" hidden="1" x14ac:dyDescent="0.25">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69200</v>
      </c>
      <c r="AE232">
        <f>IF(VLOOKUP(Table1[[#This Row],[sheet]],Prg!$A$7:$J$31,10,FALSE)="","",VLOOKUP(Table1[[#This Row],[sheet]],Prg!$A$7:$J$31,10,FALSE)*1)</f>
        <v>1</v>
      </c>
      <c r="AF232" t="str">
        <f>VLOOKUP(Table1[[#This Row],[sheet]],Prg!$A$7:$J$31,5,FALSE)</f>
        <v>BELGIUM</v>
      </c>
      <c r="AG232">
        <f>ROW()</f>
        <v>232</v>
      </c>
    </row>
    <row r="233" spans="24:33" hidden="1" x14ac:dyDescent="0.25">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171091.92587116398</v>
      </c>
      <c r="AE233">
        <f>IF(VLOOKUP(Table1[[#This Row],[sheet]],Prg!$A$7:$J$31,10,FALSE)="","",VLOOKUP(Table1[[#This Row],[sheet]],Prg!$A$7:$J$31,10,FALSE)*1)</f>
        <v>1</v>
      </c>
      <c r="AF233" t="str">
        <f>VLOOKUP(Table1[[#This Row],[sheet]],Prg!$A$7:$J$31,5,FALSE)</f>
        <v>BELGIUM</v>
      </c>
      <c r="AG233">
        <f>ROW()</f>
        <v>233</v>
      </c>
    </row>
    <row r="234" spans="24:33" hidden="1" x14ac:dyDescent="0.25">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305491.92587116396</v>
      </c>
      <c r="AE234">
        <f>IF(VLOOKUP(Table1[[#This Row],[sheet]],Prg!$A$7:$J$31,10,FALSE)="","",VLOOKUP(Table1[[#This Row],[sheet]],Prg!$A$7:$J$31,10,FALSE)*1)</f>
        <v>1</v>
      </c>
      <c r="AF234" t="str">
        <f>VLOOKUP(Table1[[#This Row],[sheet]],Prg!$A$7:$J$31,5,FALSE)</f>
        <v>BELGIUM</v>
      </c>
      <c r="AG234">
        <f>ROW()</f>
        <v>234</v>
      </c>
    </row>
    <row r="235" spans="24:33" hidden="1" x14ac:dyDescent="0.25">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0</v>
      </c>
      <c r="AE235">
        <f>IF(VLOOKUP(Table1[[#This Row],[sheet]],Prg!$A$7:$J$31,10,FALSE)="","",VLOOKUP(Table1[[#This Row],[sheet]],Prg!$A$7:$J$31,10,FALSE)*1)</f>
        <v>1</v>
      </c>
      <c r="AF235" t="str">
        <f>VLOOKUP(Table1[[#This Row],[sheet]],Prg!$A$7:$J$31,5,FALSE)</f>
        <v>BELGIUM</v>
      </c>
      <c r="AG235">
        <f>ROW()</f>
        <v>235</v>
      </c>
    </row>
    <row r="236" spans="24:33" hidden="1" x14ac:dyDescent="0.25">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0</v>
      </c>
      <c r="AE236">
        <f>IF(VLOOKUP(Table1[[#This Row],[sheet]],Prg!$A$7:$J$31,10,FALSE)="","",VLOOKUP(Table1[[#This Row],[sheet]],Prg!$A$7:$J$31,10,FALSE)*1)</f>
        <v>1</v>
      </c>
      <c r="AF236" t="str">
        <f>VLOOKUP(Table1[[#This Row],[sheet]],Prg!$A$7:$J$31,5,FALSE)</f>
        <v>BELGIUM</v>
      </c>
      <c r="AG236">
        <f>ROW()</f>
        <v>236</v>
      </c>
    </row>
    <row r="237" spans="24:33" hidden="1" x14ac:dyDescent="0.25">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0</v>
      </c>
      <c r="AE237">
        <f>IF(VLOOKUP(Table1[[#This Row],[sheet]],Prg!$A$7:$J$31,10,FALSE)="","",VLOOKUP(Table1[[#This Row],[sheet]],Prg!$A$7:$J$31,10,FALSE)*1)</f>
        <v>1</v>
      </c>
      <c r="AF237" t="str">
        <f>VLOOKUP(Table1[[#This Row],[sheet]],Prg!$A$7:$J$31,5,FALSE)</f>
        <v>BELGIUM</v>
      </c>
      <c r="AG237">
        <f>ROW()</f>
        <v>237</v>
      </c>
    </row>
    <row r="238" spans="24:33" hidden="1" x14ac:dyDescent="0.25">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0</v>
      </c>
      <c r="AE238">
        <f>IF(VLOOKUP(Table1[[#This Row],[sheet]],Prg!$A$7:$J$31,10,FALSE)="","",VLOOKUP(Table1[[#This Row],[sheet]],Prg!$A$7:$J$31,10,FALSE)*1)</f>
        <v>1</v>
      </c>
      <c r="AF238" t="str">
        <f>VLOOKUP(Table1[[#This Row],[sheet]],Prg!$A$7:$J$31,5,FALSE)</f>
        <v>BELGIUM</v>
      </c>
      <c r="AG238">
        <f>ROW()</f>
        <v>238</v>
      </c>
    </row>
    <row r="239" spans="24:33" hidden="1" x14ac:dyDescent="0.25">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127800</v>
      </c>
      <c r="AE239">
        <f>IF(VLOOKUP(Table1[[#This Row],[sheet]],Prg!$A$7:$J$31,10,FALSE)="","",VLOOKUP(Table1[[#This Row],[sheet]],Prg!$A$7:$J$31,10,FALSE)*1)</f>
        <v>1</v>
      </c>
      <c r="AF239" t="str">
        <f>VLOOKUP(Table1[[#This Row],[sheet]],Prg!$A$7:$J$31,5,FALSE)</f>
        <v>BELGIUM</v>
      </c>
      <c r="AG239">
        <f>ROW()</f>
        <v>239</v>
      </c>
    </row>
    <row r="240" spans="24:33" hidden="1" x14ac:dyDescent="0.25">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9000</v>
      </c>
      <c r="AE240">
        <f>IF(VLOOKUP(Table1[[#This Row],[sheet]],Prg!$A$7:$J$31,10,FALSE)="","",VLOOKUP(Table1[[#This Row],[sheet]],Prg!$A$7:$J$31,10,FALSE)*1)</f>
        <v>1</v>
      </c>
      <c r="AF240" t="str">
        <f>VLOOKUP(Table1[[#This Row],[sheet]],Prg!$A$7:$J$31,5,FALSE)</f>
        <v>BELGIUM</v>
      </c>
      <c r="AG240">
        <f>ROW()</f>
        <v>240</v>
      </c>
    </row>
    <row r="241" spans="24:33" hidden="1" x14ac:dyDescent="0.25">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0</v>
      </c>
      <c r="AE241">
        <f>IF(VLOOKUP(Table1[[#This Row],[sheet]],Prg!$A$7:$J$31,10,FALSE)="","",VLOOKUP(Table1[[#This Row],[sheet]],Prg!$A$7:$J$31,10,FALSE)*1)</f>
        <v>1</v>
      </c>
      <c r="AF241" t="str">
        <f>VLOOKUP(Table1[[#This Row],[sheet]],Prg!$A$7:$J$31,5,FALSE)</f>
        <v>BELGIUM</v>
      </c>
      <c r="AG241">
        <f>ROW()</f>
        <v>241</v>
      </c>
    </row>
    <row r="242" spans="24:33" hidden="1" x14ac:dyDescent="0.25">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118800</v>
      </c>
      <c r="AE242">
        <f>IF(VLOOKUP(Table1[[#This Row],[sheet]],Prg!$A$7:$J$31,10,FALSE)="","",VLOOKUP(Table1[[#This Row],[sheet]],Prg!$A$7:$J$31,10,FALSE)*1)</f>
        <v>1</v>
      </c>
      <c r="AF242" t="str">
        <f>VLOOKUP(Table1[[#This Row],[sheet]],Prg!$A$7:$J$31,5,FALSE)</f>
        <v>BELGIUM</v>
      </c>
      <c r="AG242">
        <f>ROW()</f>
        <v>242</v>
      </c>
    </row>
    <row r="243" spans="24:33" hidden="1" x14ac:dyDescent="0.25">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177691.92587116398</v>
      </c>
      <c r="AE243">
        <f>IF(VLOOKUP(Table1[[#This Row],[sheet]],Prg!$A$7:$J$31,10,FALSE)="","",VLOOKUP(Table1[[#This Row],[sheet]],Prg!$A$7:$J$31,10,FALSE)*1)</f>
        <v>1</v>
      </c>
      <c r="AF243" t="str">
        <f>VLOOKUP(Table1[[#This Row],[sheet]],Prg!$A$7:$J$31,5,FALSE)</f>
        <v>BELGIUM</v>
      </c>
      <c r="AG243">
        <f>ROW()</f>
        <v>243</v>
      </c>
    </row>
    <row r="244" spans="24:33" hidden="1" x14ac:dyDescent="0.25">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177691.92587116398</v>
      </c>
      <c r="AE244">
        <f>IF(VLOOKUP(Table1[[#This Row],[sheet]],Prg!$A$7:$J$31,10,FALSE)="","",VLOOKUP(Table1[[#This Row],[sheet]],Prg!$A$7:$J$31,10,FALSE)*1)</f>
        <v>1</v>
      </c>
      <c r="AF244" t="str">
        <f>VLOOKUP(Table1[[#This Row],[sheet]],Prg!$A$7:$J$31,5,FALSE)</f>
        <v>BELGIUM</v>
      </c>
      <c r="AG244">
        <f>ROW()</f>
        <v>244</v>
      </c>
    </row>
    <row r="245" spans="24:33" hidden="1" x14ac:dyDescent="0.25">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0</v>
      </c>
      <c r="AE245">
        <f>IF(VLOOKUP(Table1[[#This Row],[sheet]],Prg!$A$7:$J$31,10,FALSE)="","",VLOOKUP(Table1[[#This Row],[sheet]],Prg!$A$7:$J$31,10,FALSE)*1)</f>
        <v>1</v>
      </c>
      <c r="AF245" t="str">
        <f>VLOOKUP(Table1[[#This Row],[sheet]],Prg!$A$7:$J$31,5,FALSE)</f>
        <v>BELGIUM</v>
      </c>
      <c r="AG245">
        <f>ROW()</f>
        <v>245</v>
      </c>
    </row>
    <row r="246" spans="24:33" hidden="1" x14ac:dyDescent="0.25">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0</v>
      </c>
      <c r="AE246">
        <f>IF(VLOOKUP(Table1[[#This Row],[sheet]],Prg!$A$7:$J$31,10,FALSE)="","",VLOOKUP(Table1[[#This Row],[sheet]],Prg!$A$7:$J$31,10,FALSE)*1)</f>
        <v>1</v>
      </c>
      <c r="AF246" t="str">
        <f>VLOOKUP(Table1[[#This Row],[sheet]],Prg!$A$7:$J$31,5,FALSE)</f>
        <v>BELGIUM</v>
      </c>
      <c r="AG246">
        <f>ROW()</f>
        <v>246</v>
      </c>
    </row>
    <row r="247" spans="24:33" hidden="1" x14ac:dyDescent="0.25">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0</v>
      </c>
      <c r="AE247">
        <f>IF(VLOOKUP(Table1[[#This Row],[sheet]],Prg!$A$7:$J$31,10,FALSE)="","",VLOOKUP(Table1[[#This Row],[sheet]],Prg!$A$7:$J$31,10,FALSE)*1)</f>
        <v>1</v>
      </c>
      <c r="AF247" t="str">
        <f>VLOOKUP(Table1[[#This Row],[sheet]],Prg!$A$7:$J$31,5,FALSE)</f>
        <v>BELGIUM</v>
      </c>
      <c r="AG247">
        <f>ROW()</f>
        <v>247</v>
      </c>
    </row>
    <row r="248" spans="24:33" hidden="1" x14ac:dyDescent="0.25">
      <c r="X248">
        <v>2</v>
      </c>
      <c r="Y248" s="53" t="s">
        <v>753</v>
      </c>
      <c r="Z248" s="53" t="s">
        <v>162</v>
      </c>
      <c r="AA248" s="53" t="str">
        <f>IF(OR(VLOOKUP(Table1[[#This Row],[sheet]],Prg!$A$7:$F$31,6,FALSE)=Prg!$O$2,VLOOKUP(Table1[[#This Row],[sheet]],Prg!$A$7:$F$31,6,FALSE)=Prg!$O$3),"Yes","No")</f>
        <v>Yes</v>
      </c>
      <c r="AB248" s="53">
        <v>2024</v>
      </c>
      <c r="AC248">
        <v>17</v>
      </c>
      <c r="AD248">
        <f ca="1">IF(ISERROR(VLOOKUP(Table1[[#This Row],[item]],INDIRECT("'"&amp;Table1[[#This Row],[sheet]]&amp;"'!$A$8:$T$42"),Table1[[#This Row],[r]],FALSE)),"",VLOOKUP(Table1[[#This Row],[item]],INDIRECT("'"&amp;Table1[[#This Row],[sheet]]&amp;"'!$A$8:$T$42"),Table1[[#This Row],[r]],FALSE))</f>
        <v>0</v>
      </c>
      <c r="AE248">
        <f>IF(VLOOKUP(Table1[[#This Row],[sheet]],Prg!$A$7:$J$31,10,FALSE)="","",VLOOKUP(Table1[[#This Row],[sheet]],Prg!$A$7:$J$31,10,FALSE)*1)</f>
        <v>1</v>
      </c>
      <c r="AF248" t="str">
        <f>VLOOKUP(Table1[[#This Row],[sheet]],Prg!$A$7:$J$31,5,FALSE)</f>
        <v>BELGIUM</v>
      </c>
      <c r="AG248">
        <f>ROW()</f>
        <v>248</v>
      </c>
    </row>
    <row r="249" spans="24:33" hidden="1" x14ac:dyDescent="0.25">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0</v>
      </c>
      <c r="AE249">
        <f>IF(VLOOKUP(Table1[[#This Row],[sheet]],Prg!$A$7:$J$31,10,FALSE)="","",VLOOKUP(Table1[[#This Row],[sheet]],Prg!$A$7:$J$31,10,FALSE)*1)</f>
        <v>1</v>
      </c>
      <c r="AF249" t="str">
        <f>VLOOKUP(Table1[[#This Row],[sheet]],Prg!$A$7:$J$31,5,FALSE)</f>
        <v>BELGIUM</v>
      </c>
      <c r="AG249">
        <f>ROW()</f>
        <v>249</v>
      </c>
    </row>
    <row r="250" spans="24:33" hidden="1" x14ac:dyDescent="0.25">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0</v>
      </c>
      <c r="AE250">
        <f>IF(VLOOKUP(Table1[[#This Row],[sheet]],Prg!$A$7:$J$31,10,FALSE)="","",VLOOKUP(Table1[[#This Row],[sheet]],Prg!$A$7:$J$31,10,FALSE)*1)</f>
        <v>1</v>
      </c>
      <c r="AF250" t="str">
        <f>VLOOKUP(Table1[[#This Row],[sheet]],Prg!$A$7:$J$31,5,FALSE)</f>
        <v>BELGIUM</v>
      </c>
      <c r="AG250">
        <f>ROW()</f>
        <v>250</v>
      </c>
    </row>
    <row r="251" spans="24:33" hidden="1" x14ac:dyDescent="0.25">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0</v>
      </c>
      <c r="AE251">
        <f>IF(VLOOKUP(Table1[[#This Row],[sheet]],Prg!$A$7:$J$31,10,FALSE)="","",VLOOKUP(Table1[[#This Row],[sheet]],Prg!$A$7:$J$31,10,FALSE)*1)</f>
        <v>1</v>
      </c>
      <c r="AF251" t="str">
        <f>VLOOKUP(Table1[[#This Row],[sheet]],Prg!$A$7:$J$31,5,FALSE)</f>
        <v>BELGIUM</v>
      </c>
      <c r="AG251">
        <f>ROW()</f>
        <v>251</v>
      </c>
    </row>
    <row r="252" spans="24:33" hidden="1" x14ac:dyDescent="0.25">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65200</v>
      </c>
      <c r="AE252">
        <f>IF(VLOOKUP(Table1[[#This Row],[sheet]],Prg!$A$7:$J$31,10,FALSE)="","",VLOOKUP(Table1[[#This Row],[sheet]],Prg!$A$7:$J$31,10,FALSE)*1)</f>
        <v>1</v>
      </c>
      <c r="AF252" t="str">
        <f>VLOOKUP(Table1[[#This Row],[sheet]],Prg!$A$7:$J$31,5,FALSE)</f>
        <v>BELGIUM</v>
      </c>
      <c r="AG252">
        <f>ROW()</f>
        <v>252</v>
      </c>
    </row>
    <row r="253" spans="24:33" hidden="1" x14ac:dyDescent="0.25">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BELGIUM</v>
      </c>
      <c r="AG253">
        <f>ROW()</f>
        <v>253</v>
      </c>
    </row>
    <row r="254" spans="24:33" hidden="1" x14ac:dyDescent="0.25">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58600</v>
      </c>
      <c r="AE254">
        <f>IF(VLOOKUP(Table1[[#This Row],[sheet]],Prg!$A$7:$J$31,10,FALSE)="","",VLOOKUP(Table1[[#This Row],[sheet]],Prg!$A$7:$J$31,10,FALSE)*1)</f>
        <v>1</v>
      </c>
      <c r="AF254" t="str">
        <f>VLOOKUP(Table1[[#This Row],[sheet]],Prg!$A$7:$J$31,5,FALSE)</f>
        <v>BELGIUM</v>
      </c>
      <c r="AG254">
        <f>ROW()</f>
        <v>254</v>
      </c>
    </row>
    <row r="255" spans="24:33" hidden="1" x14ac:dyDescent="0.25">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6600</v>
      </c>
      <c r="AE255">
        <f>IF(VLOOKUP(Table1[[#This Row],[sheet]],Prg!$A$7:$J$31,10,FALSE)="","",VLOOKUP(Table1[[#This Row],[sheet]],Prg!$A$7:$J$31,10,FALSE)*1)</f>
        <v>1</v>
      </c>
      <c r="AF255" t="str">
        <f>VLOOKUP(Table1[[#This Row],[sheet]],Prg!$A$7:$J$31,5,FALSE)</f>
        <v>BELGIUM</v>
      </c>
      <c r="AG255">
        <f>ROW()</f>
        <v>255</v>
      </c>
    </row>
    <row r="256" spans="24:33" hidden="1" x14ac:dyDescent="0.25">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0</v>
      </c>
      <c r="AE256">
        <f>IF(VLOOKUP(Table1[[#This Row],[sheet]],Prg!$A$7:$J$31,10,FALSE)="","",VLOOKUP(Table1[[#This Row],[sheet]],Prg!$A$7:$J$31,10,FALSE)*1)</f>
        <v>1</v>
      </c>
      <c r="AF256" t="str">
        <f>VLOOKUP(Table1[[#This Row],[sheet]],Prg!$A$7:$J$31,5,FALSE)</f>
        <v>BELGIUM</v>
      </c>
      <c r="AG256">
        <f>ROW()</f>
        <v>256</v>
      </c>
    </row>
    <row r="257" spans="24:33" hidden="1" x14ac:dyDescent="0.25">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0</v>
      </c>
      <c r="AE257">
        <f>IF(VLOOKUP(Table1[[#This Row],[sheet]],Prg!$A$7:$J$31,10,FALSE)="","",VLOOKUP(Table1[[#This Row],[sheet]],Prg!$A$7:$J$31,10,FALSE)*1)</f>
        <v>1</v>
      </c>
      <c r="AF257" t="str">
        <f>VLOOKUP(Table1[[#This Row],[sheet]],Prg!$A$7:$J$31,5,FALSE)</f>
        <v>BELGIUM</v>
      </c>
      <c r="AG257">
        <f>ROW()</f>
        <v>257</v>
      </c>
    </row>
    <row r="258" spans="24:33" hidden="1" x14ac:dyDescent="0.25">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0</v>
      </c>
      <c r="AE258">
        <f>IF(VLOOKUP(Table1[[#This Row],[sheet]],Prg!$A$7:$J$31,10,FALSE)="","",VLOOKUP(Table1[[#This Row],[sheet]],Prg!$A$7:$J$31,10,FALSE)*1)</f>
        <v>1</v>
      </c>
      <c r="AF258" t="str">
        <f>VLOOKUP(Table1[[#This Row],[sheet]],Prg!$A$7:$J$31,5,FALSE)</f>
        <v>BELGIUM</v>
      </c>
      <c r="AG258">
        <f>ROW()</f>
        <v>258</v>
      </c>
    </row>
    <row r="259" spans="24:33" hidden="1" x14ac:dyDescent="0.25">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0</v>
      </c>
      <c r="AE259">
        <f>IF(VLOOKUP(Table1[[#This Row],[sheet]],Prg!$A$7:$J$31,10,FALSE)="","",VLOOKUP(Table1[[#This Row],[sheet]],Prg!$A$7:$J$31,10,FALSE)*1)</f>
        <v>1</v>
      </c>
      <c r="AF259" t="str">
        <f>VLOOKUP(Table1[[#This Row],[sheet]],Prg!$A$7:$J$31,5,FALSE)</f>
        <v>BELGIUM</v>
      </c>
      <c r="AG259">
        <f>ROW()</f>
        <v>259</v>
      </c>
    </row>
    <row r="260" spans="24:33" hidden="1" x14ac:dyDescent="0.25">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279363.411988587</v>
      </c>
      <c r="AE260">
        <f>IF(VLOOKUP(Table1[[#This Row],[sheet]],Prg!$A$7:$J$31,10,FALSE)="","",VLOOKUP(Table1[[#This Row],[sheet]],Prg!$A$7:$J$31,10,FALSE)*1)</f>
        <v>1</v>
      </c>
      <c r="AF260" t="str">
        <f>VLOOKUP(Table1[[#This Row],[sheet]],Prg!$A$7:$J$31,5,FALSE)</f>
        <v>BELGIUM</v>
      </c>
      <c r="AG260">
        <f>ROW()</f>
        <v>260</v>
      </c>
    </row>
    <row r="261" spans="24:33" hidden="1" x14ac:dyDescent="0.25">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0</v>
      </c>
      <c r="AE261">
        <f>IF(VLOOKUP(Table1[[#This Row],[sheet]],Prg!$A$7:$J$31,10,FALSE)="","",VLOOKUP(Table1[[#This Row],[sheet]],Prg!$A$7:$J$31,10,FALSE)*1)</f>
        <v>1</v>
      </c>
      <c r="AF261" t="str">
        <f>VLOOKUP(Table1[[#This Row],[sheet]],Prg!$A$7:$J$31,5,FALSE)</f>
        <v>BELGIUM</v>
      </c>
      <c r="AG261">
        <f>ROW()</f>
        <v>261</v>
      </c>
    </row>
    <row r="262" spans="24:33" hidden="1" x14ac:dyDescent="0.25">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69200</v>
      </c>
      <c r="AE262">
        <f>IF(VLOOKUP(Table1[[#This Row],[sheet]],Prg!$A$7:$J$31,10,FALSE)="","",VLOOKUP(Table1[[#This Row],[sheet]],Prg!$A$7:$J$31,10,FALSE)*1)</f>
        <v>1</v>
      </c>
      <c r="AF262" t="str">
        <f>VLOOKUP(Table1[[#This Row],[sheet]],Prg!$A$7:$J$31,5,FALSE)</f>
        <v>BELGIUM</v>
      </c>
      <c r="AG262">
        <f>ROW()</f>
        <v>262</v>
      </c>
    </row>
    <row r="263" spans="24:33" hidden="1" x14ac:dyDescent="0.25">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210163.411988587</v>
      </c>
      <c r="AE263">
        <f>IF(VLOOKUP(Table1[[#This Row],[sheet]],Prg!$A$7:$J$31,10,FALSE)="","",VLOOKUP(Table1[[#This Row],[sheet]],Prg!$A$7:$J$31,10,FALSE)*1)</f>
        <v>1</v>
      </c>
      <c r="AF263" t="str">
        <f>VLOOKUP(Table1[[#This Row],[sheet]],Prg!$A$7:$J$31,5,FALSE)</f>
        <v>BELGIUM</v>
      </c>
      <c r="AG263">
        <f>ROW()</f>
        <v>263</v>
      </c>
    </row>
    <row r="264" spans="24:33" hidden="1" x14ac:dyDescent="0.25">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344563.411988587</v>
      </c>
      <c r="AE264">
        <f>IF(VLOOKUP(Table1[[#This Row],[sheet]],Prg!$A$7:$J$31,10,FALSE)="","",VLOOKUP(Table1[[#This Row],[sheet]],Prg!$A$7:$J$31,10,FALSE)*1)</f>
        <v>1</v>
      </c>
      <c r="AF264" t="str">
        <f>VLOOKUP(Table1[[#This Row],[sheet]],Prg!$A$7:$J$31,5,FALSE)</f>
        <v>BELGIUM</v>
      </c>
      <c r="AG264">
        <f>ROW()</f>
        <v>264</v>
      </c>
    </row>
    <row r="265" spans="24:33" hidden="1" x14ac:dyDescent="0.25">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0</v>
      </c>
      <c r="AE265">
        <f>IF(VLOOKUP(Table1[[#This Row],[sheet]],Prg!$A$7:$J$31,10,FALSE)="","",VLOOKUP(Table1[[#This Row],[sheet]],Prg!$A$7:$J$31,10,FALSE)*1)</f>
        <v>1</v>
      </c>
      <c r="AF265" t="str">
        <f>VLOOKUP(Table1[[#This Row],[sheet]],Prg!$A$7:$J$31,5,FALSE)</f>
        <v>BELGIUM</v>
      </c>
      <c r="AG265">
        <f>ROW()</f>
        <v>265</v>
      </c>
    </row>
    <row r="266" spans="24:33" hidden="1" x14ac:dyDescent="0.25">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0</v>
      </c>
      <c r="AE266">
        <f>IF(VLOOKUP(Table1[[#This Row],[sheet]],Prg!$A$7:$J$31,10,FALSE)="","",VLOOKUP(Table1[[#This Row],[sheet]],Prg!$A$7:$J$31,10,FALSE)*1)</f>
        <v>1</v>
      </c>
      <c r="AF266" t="str">
        <f>VLOOKUP(Table1[[#This Row],[sheet]],Prg!$A$7:$J$31,5,FALSE)</f>
        <v>BELGIUM</v>
      </c>
      <c r="AG266">
        <f>ROW()</f>
        <v>266</v>
      </c>
    </row>
    <row r="267" spans="24:33" hidden="1" x14ac:dyDescent="0.25">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0</v>
      </c>
      <c r="AE267">
        <f>IF(VLOOKUP(Table1[[#This Row],[sheet]],Prg!$A$7:$J$31,10,FALSE)="","",VLOOKUP(Table1[[#This Row],[sheet]],Prg!$A$7:$J$31,10,FALSE)*1)</f>
        <v>1</v>
      </c>
      <c r="AF267" t="str">
        <f>VLOOKUP(Table1[[#This Row],[sheet]],Prg!$A$7:$J$31,5,FALSE)</f>
        <v>BELGIUM</v>
      </c>
      <c r="AG267">
        <f>ROW()</f>
        <v>267</v>
      </c>
    </row>
    <row r="268" spans="24:33" hidden="1" x14ac:dyDescent="0.25">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0</v>
      </c>
      <c r="AE268">
        <f>IF(VLOOKUP(Table1[[#This Row],[sheet]],Prg!$A$7:$J$31,10,FALSE)="","",VLOOKUP(Table1[[#This Row],[sheet]],Prg!$A$7:$J$31,10,FALSE)*1)</f>
        <v>1</v>
      </c>
      <c r="AF268" t="str">
        <f>VLOOKUP(Table1[[#This Row],[sheet]],Prg!$A$7:$J$31,5,FALSE)</f>
        <v>BELGIUM</v>
      </c>
      <c r="AG268">
        <f>ROW()</f>
        <v>268</v>
      </c>
    </row>
    <row r="269" spans="24:33" hidden="1" x14ac:dyDescent="0.25">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127800</v>
      </c>
      <c r="AE269">
        <f>IF(VLOOKUP(Table1[[#This Row],[sheet]],Prg!$A$7:$J$31,10,FALSE)="","",VLOOKUP(Table1[[#This Row],[sheet]],Prg!$A$7:$J$31,10,FALSE)*1)</f>
        <v>1</v>
      </c>
      <c r="AF269" t="str">
        <f>VLOOKUP(Table1[[#This Row],[sheet]],Prg!$A$7:$J$31,5,FALSE)</f>
        <v>BELGIUM</v>
      </c>
      <c r="AG269">
        <f>ROW()</f>
        <v>269</v>
      </c>
    </row>
    <row r="270" spans="24:33" hidden="1" x14ac:dyDescent="0.25">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9000</v>
      </c>
      <c r="AE270">
        <f>IF(VLOOKUP(Table1[[#This Row],[sheet]],Prg!$A$7:$J$31,10,FALSE)="","",VLOOKUP(Table1[[#This Row],[sheet]],Prg!$A$7:$J$31,10,FALSE)*1)</f>
        <v>1</v>
      </c>
      <c r="AF270" t="str">
        <f>VLOOKUP(Table1[[#This Row],[sheet]],Prg!$A$7:$J$31,5,FALSE)</f>
        <v>BELGIUM</v>
      </c>
      <c r="AG270">
        <f>ROW()</f>
        <v>270</v>
      </c>
    </row>
    <row r="271" spans="24:33" hidden="1" x14ac:dyDescent="0.25">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0</v>
      </c>
      <c r="AE271">
        <f>IF(VLOOKUP(Table1[[#This Row],[sheet]],Prg!$A$7:$J$31,10,FALSE)="","",VLOOKUP(Table1[[#This Row],[sheet]],Prg!$A$7:$J$31,10,FALSE)*1)</f>
        <v>1</v>
      </c>
      <c r="AF271" t="str">
        <f>VLOOKUP(Table1[[#This Row],[sheet]],Prg!$A$7:$J$31,5,FALSE)</f>
        <v>BELGIUM</v>
      </c>
      <c r="AG271">
        <f>ROW()</f>
        <v>271</v>
      </c>
    </row>
    <row r="272" spans="24:33" hidden="1" x14ac:dyDescent="0.25">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118800</v>
      </c>
      <c r="AE272">
        <f>IF(VLOOKUP(Table1[[#This Row],[sheet]],Prg!$A$7:$J$31,10,FALSE)="","",VLOOKUP(Table1[[#This Row],[sheet]],Prg!$A$7:$J$31,10,FALSE)*1)</f>
        <v>1</v>
      </c>
      <c r="AF272" t="str">
        <f>VLOOKUP(Table1[[#This Row],[sheet]],Prg!$A$7:$J$31,5,FALSE)</f>
        <v>BELGIUM</v>
      </c>
      <c r="AG272">
        <f>ROW()</f>
        <v>272</v>
      </c>
    </row>
    <row r="273" spans="24:33" hidden="1" x14ac:dyDescent="0.25">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216763.411988587</v>
      </c>
      <c r="AE273">
        <f>IF(VLOOKUP(Table1[[#This Row],[sheet]],Prg!$A$7:$J$31,10,FALSE)="","",VLOOKUP(Table1[[#This Row],[sheet]],Prg!$A$7:$J$31,10,FALSE)*1)</f>
        <v>1</v>
      </c>
      <c r="AF273" t="str">
        <f>VLOOKUP(Table1[[#This Row],[sheet]],Prg!$A$7:$J$31,5,FALSE)</f>
        <v>BELGIUM</v>
      </c>
      <c r="AG273">
        <f>ROW()</f>
        <v>273</v>
      </c>
    </row>
    <row r="274" spans="24:33" hidden="1" x14ac:dyDescent="0.25">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216763.411988587</v>
      </c>
      <c r="AE274">
        <f>IF(VLOOKUP(Table1[[#This Row],[sheet]],Prg!$A$7:$J$31,10,FALSE)="","",VLOOKUP(Table1[[#This Row],[sheet]],Prg!$A$7:$J$31,10,FALSE)*1)</f>
        <v>1</v>
      </c>
      <c r="AF274" t="str">
        <f>VLOOKUP(Table1[[#This Row],[sheet]],Prg!$A$7:$J$31,5,FALSE)</f>
        <v>BELGIUM</v>
      </c>
      <c r="AG274">
        <f>ROW()</f>
        <v>274</v>
      </c>
    </row>
    <row r="275" spans="24:33" hidden="1" x14ac:dyDescent="0.25">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0</v>
      </c>
      <c r="AE275">
        <f>IF(VLOOKUP(Table1[[#This Row],[sheet]],Prg!$A$7:$J$31,10,FALSE)="","",VLOOKUP(Table1[[#This Row],[sheet]],Prg!$A$7:$J$31,10,FALSE)*1)</f>
        <v>1</v>
      </c>
      <c r="AF275" t="str">
        <f>VLOOKUP(Table1[[#This Row],[sheet]],Prg!$A$7:$J$31,5,FALSE)</f>
        <v>BELGIUM</v>
      </c>
      <c r="AG275">
        <f>ROW()</f>
        <v>275</v>
      </c>
    </row>
    <row r="276" spans="24:33" hidden="1" x14ac:dyDescent="0.25">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0</v>
      </c>
      <c r="AE276">
        <f>IF(VLOOKUP(Table1[[#This Row],[sheet]],Prg!$A$7:$J$31,10,FALSE)="","",VLOOKUP(Table1[[#This Row],[sheet]],Prg!$A$7:$J$31,10,FALSE)*1)</f>
        <v>1</v>
      </c>
      <c r="AF276" t="str">
        <f>VLOOKUP(Table1[[#This Row],[sheet]],Prg!$A$7:$J$31,5,FALSE)</f>
        <v>BELGIUM</v>
      </c>
      <c r="AG276">
        <f>ROW()</f>
        <v>276</v>
      </c>
    </row>
    <row r="277" spans="24:33" hidden="1" x14ac:dyDescent="0.25">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0</v>
      </c>
      <c r="AE277">
        <f>IF(VLOOKUP(Table1[[#This Row],[sheet]],Prg!$A$7:$J$31,10,FALSE)="","",VLOOKUP(Table1[[#This Row],[sheet]],Prg!$A$7:$J$31,10,FALSE)*1)</f>
        <v>1</v>
      </c>
      <c r="AF277" t="str">
        <f>VLOOKUP(Table1[[#This Row],[sheet]],Prg!$A$7:$J$31,5,FALSE)</f>
        <v>BELGIUM</v>
      </c>
      <c r="AG277">
        <f>ROW()</f>
        <v>277</v>
      </c>
    </row>
    <row r="278" spans="24:33" hidden="1" x14ac:dyDescent="0.25">
      <c r="X278">
        <v>2</v>
      </c>
      <c r="Y278" s="53" t="s">
        <v>753</v>
      </c>
      <c r="Z278" s="53" t="s">
        <v>162</v>
      </c>
      <c r="AA278" s="53" t="str">
        <f>IF(OR(VLOOKUP(Table1[[#This Row],[sheet]],Prg!$A$7:$F$31,6,FALSE)=Prg!$O$2,VLOOKUP(Table1[[#This Row],[sheet]],Prg!$A$7:$F$31,6,FALSE)=Prg!$O$3),"Yes","No")</f>
        <v>Yes</v>
      </c>
      <c r="AB278" s="53">
        <v>2025</v>
      </c>
      <c r="AC278">
        <v>18</v>
      </c>
      <c r="AD278">
        <f ca="1">IF(ISERROR(VLOOKUP(Table1[[#This Row],[item]],INDIRECT("'"&amp;Table1[[#This Row],[sheet]]&amp;"'!$A$8:$T$42"),Table1[[#This Row],[r]],FALSE)),"",VLOOKUP(Table1[[#This Row],[item]],INDIRECT("'"&amp;Table1[[#This Row],[sheet]]&amp;"'!$A$8:$T$42"),Table1[[#This Row],[r]],FALSE))</f>
        <v>0</v>
      </c>
      <c r="AE278">
        <f>IF(VLOOKUP(Table1[[#This Row],[sheet]],Prg!$A$7:$J$31,10,FALSE)="","",VLOOKUP(Table1[[#This Row],[sheet]],Prg!$A$7:$J$31,10,FALSE)*1)</f>
        <v>1</v>
      </c>
      <c r="AF278" t="str">
        <f>VLOOKUP(Table1[[#This Row],[sheet]],Prg!$A$7:$J$31,5,FALSE)</f>
        <v>BELGIUM</v>
      </c>
      <c r="AG278">
        <f>ROW()</f>
        <v>278</v>
      </c>
    </row>
    <row r="279" spans="24:33" hidden="1" x14ac:dyDescent="0.25">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0</v>
      </c>
      <c r="AE279">
        <f>IF(VLOOKUP(Table1[[#This Row],[sheet]],Prg!$A$7:$J$31,10,FALSE)="","",VLOOKUP(Table1[[#This Row],[sheet]],Prg!$A$7:$J$31,10,FALSE)*1)</f>
        <v>1</v>
      </c>
      <c r="AF279" t="str">
        <f>VLOOKUP(Table1[[#This Row],[sheet]],Prg!$A$7:$J$31,5,FALSE)</f>
        <v>BELGIUM</v>
      </c>
      <c r="AG279">
        <f>ROW()</f>
        <v>279</v>
      </c>
    </row>
    <row r="280" spans="24:33" hidden="1" x14ac:dyDescent="0.25">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0</v>
      </c>
      <c r="AE280">
        <f>IF(VLOOKUP(Table1[[#This Row],[sheet]],Prg!$A$7:$J$31,10,FALSE)="","",VLOOKUP(Table1[[#This Row],[sheet]],Prg!$A$7:$J$31,10,FALSE)*1)</f>
        <v>1</v>
      </c>
      <c r="AF280" t="str">
        <f>VLOOKUP(Table1[[#This Row],[sheet]],Prg!$A$7:$J$31,5,FALSE)</f>
        <v>BELGIUM</v>
      </c>
      <c r="AG280">
        <f>ROW()</f>
        <v>280</v>
      </c>
    </row>
    <row r="281" spans="24:33" hidden="1" x14ac:dyDescent="0.25">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0</v>
      </c>
      <c r="AE281">
        <f>IF(VLOOKUP(Table1[[#This Row],[sheet]],Prg!$A$7:$J$31,10,FALSE)="","",VLOOKUP(Table1[[#This Row],[sheet]],Prg!$A$7:$J$31,10,FALSE)*1)</f>
        <v>1</v>
      </c>
      <c r="AF281" t="str">
        <f>VLOOKUP(Table1[[#This Row],[sheet]],Prg!$A$7:$J$31,5,FALSE)</f>
        <v>BELGIUM</v>
      </c>
      <c r="AG281">
        <f>ROW()</f>
        <v>281</v>
      </c>
    </row>
    <row r="282" spans="24:33" hidden="1" x14ac:dyDescent="0.25">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59000</v>
      </c>
      <c r="AE282">
        <f>IF(VLOOKUP(Table1[[#This Row],[sheet]],Prg!$A$7:$J$31,10,FALSE)="","",VLOOKUP(Table1[[#This Row],[sheet]],Prg!$A$7:$J$31,10,FALSE)*1)</f>
        <v>1</v>
      </c>
      <c r="AF282" t="str">
        <f>VLOOKUP(Table1[[#This Row],[sheet]],Prg!$A$7:$J$31,5,FALSE)</f>
        <v>BELGIUM</v>
      </c>
      <c r="AG282">
        <f>ROW()</f>
        <v>282</v>
      </c>
    </row>
    <row r="283" spans="24:33" hidden="1" x14ac:dyDescent="0.25">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BELGIUM</v>
      </c>
      <c r="AG283">
        <f>ROW()</f>
        <v>283</v>
      </c>
    </row>
    <row r="284" spans="24:33" hidden="1" x14ac:dyDescent="0.25">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53000</v>
      </c>
      <c r="AE284">
        <f>IF(VLOOKUP(Table1[[#This Row],[sheet]],Prg!$A$7:$J$31,10,FALSE)="","",VLOOKUP(Table1[[#This Row],[sheet]],Prg!$A$7:$J$31,10,FALSE)*1)</f>
        <v>1</v>
      </c>
      <c r="AF284" t="str">
        <f>VLOOKUP(Table1[[#This Row],[sheet]],Prg!$A$7:$J$31,5,FALSE)</f>
        <v>BELGIUM</v>
      </c>
      <c r="AG284">
        <f>ROW()</f>
        <v>284</v>
      </c>
    </row>
    <row r="285" spans="24:33" hidden="1" x14ac:dyDescent="0.25">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6000</v>
      </c>
      <c r="AE285">
        <f>IF(VLOOKUP(Table1[[#This Row],[sheet]],Prg!$A$7:$J$31,10,FALSE)="","",VLOOKUP(Table1[[#This Row],[sheet]],Prg!$A$7:$J$31,10,FALSE)*1)</f>
        <v>1</v>
      </c>
      <c r="AF285" t="str">
        <f>VLOOKUP(Table1[[#This Row],[sheet]],Prg!$A$7:$J$31,5,FALSE)</f>
        <v>BELGIUM</v>
      </c>
      <c r="AG285">
        <f>ROW()</f>
        <v>285</v>
      </c>
    </row>
    <row r="286" spans="24:33" hidden="1" x14ac:dyDescent="0.25">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0</v>
      </c>
      <c r="AE286">
        <f>IF(VLOOKUP(Table1[[#This Row],[sheet]],Prg!$A$7:$J$31,10,FALSE)="","",VLOOKUP(Table1[[#This Row],[sheet]],Prg!$A$7:$J$31,10,FALSE)*1)</f>
        <v>1</v>
      </c>
      <c r="AF286" t="str">
        <f>VLOOKUP(Table1[[#This Row],[sheet]],Prg!$A$7:$J$31,5,FALSE)</f>
        <v>BELGIUM</v>
      </c>
      <c r="AG286">
        <f>ROW()</f>
        <v>286</v>
      </c>
    </row>
    <row r="287" spans="24:33" hidden="1" x14ac:dyDescent="0.25">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BELGIUM</v>
      </c>
      <c r="AG287">
        <f>ROW()</f>
        <v>287</v>
      </c>
    </row>
    <row r="288" spans="24:33" hidden="1" x14ac:dyDescent="0.25">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0</v>
      </c>
      <c r="AE288">
        <f>IF(VLOOKUP(Table1[[#This Row],[sheet]],Prg!$A$7:$J$31,10,FALSE)="","",VLOOKUP(Table1[[#This Row],[sheet]],Prg!$A$7:$J$31,10,FALSE)*1)</f>
        <v>1</v>
      </c>
      <c r="AF288" t="str">
        <f>VLOOKUP(Table1[[#This Row],[sheet]],Prg!$A$7:$J$31,5,FALSE)</f>
        <v>BELGIUM</v>
      </c>
      <c r="AG288">
        <f>ROW()</f>
        <v>288</v>
      </c>
    </row>
    <row r="289" spans="24:33" hidden="1" x14ac:dyDescent="0.25">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0</v>
      </c>
      <c r="AE289">
        <f>IF(VLOOKUP(Table1[[#This Row],[sheet]],Prg!$A$7:$J$31,10,FALSE)="","",VLOOKUP(Table1[[#This Row],[sheet]],Prg!$A$7:$J$31,10,FALSE)*1)</f>
        <v>1</v>
      </c>
      <c r="AF289" t="str">
        <f>VLOOKUP(Table1[[#This Row],[sheet]],Prg!$A$7:$J$31,5,FALSE)</f>
        <v>BELGIUM</v>
      </c>
      <c r="AG289">
        <f>ROW()</f>
        <v>289</v>
      </c>
    </row>
    <row r="290" spans="24:33" hidden="1" x14ac:dyDescent="0.25">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308998.70782835898</v>
      </c>
      <c r="AE290">
        <f>IF(VLOOKUP(Table1[[#This Row],[sheet]],Prg!$A$7:$J$31,10,FALSE)="","",VLOOKUP(Table1[[#This Row],[sheet]],Prg!$A$7:$J$31,10,FALSE)*1)</f>
        <v>1</v>
      </c>
      <c r="AF290" t="str">
        <f>VLOOKUP(Table1[[#This Row],[sheet]],Prg!$A$7:$J$31,5,FALSE)</f>
        <v>BELGIUM</v>
      </c>
      <c r="AG290">
        <f>ROW()</f>
        <v>290</v>
      </c>
    </row>
    <row r="291" spans="24:33" hidden="1" x14ac:dyDescent="0.25">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BELGIUM</v>
      </c>
      <c r="AG291">
        <f>ROW()</f>
        <v>291</v>
      </c>
    </row>
    <row r="292" spans="24:33" hidden="1" x14ac:dyDescent="0.25">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62200</v>
      </c>
      <c r="AE292">
        <f>IF(VLOOKUP(Table1[[#This Row],[sheet]],Prg!$A$7:$J$31,10,FALSE)="","",VLOOKUP(Table1[[#This Row],[sheet]],Prg!$A$7:$J$31,10,FALSE)*1)</f>
        <v>1</v>
      </c>
      <c r="AF292" t="str">
        <f>VLOOKUP(Table1[[#This Row],[sheet]],Prg!$A$7:$J$31,5,FALSE)</f>
        <v>BELGIUM</v>
      </c>
      <c r="AG292">
        <f>ROW()</f>
        <v>292</v>
      </c>
    </row>
    <row r="293" spans="24:33" hidden="1" x14ac:dyDescent="0.25">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246798.70782835901</v>
      </c>
      <c r="AE293">
        <f>IF(VLOOKUP(Table1[[#This Row],[sheet]],Prg!$A$7:$J$31,10,FALSE)="","",VLOOKUP(Table1[[#This Row],[sheet]],Prg!$A$7:$J$31,10,FALSE)*1)</f>
        <v>1</v>
      </c>
      <c r="AF293" t="str">
        <f>VLOOKUP(Table1[[#This Row],[sheet]],Prg!$A$7:$J$31,5,FALSE)</f>
        <v>BELGIUM</v>
      </c>
      <c r="AG293">
        <f>ROW()</f>
        <v>293</v>
      </c>
    </row>
    <row r="294" spans="24:33" hidden="1" x14ac:dyDescent="0.25">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367998.70782835898</v>
      </c>
      <c r="AE294">
        <f>IF(VLOOKUP(Table1[[#This Row],[sheet]],Prg!$A$7:$J$31,10,FALSE)="","",VLOOKUP(Table1[[#This Row],[sheet]],Prg!$A$7:$J$31,10,FALSE)*1)</f>
        <v>1</v>
      </c>
      <c r="AF294" t="str">
        <f>VLOOKUP(Table1[[#This Row],[sheet]],Prg!$A$7:$J$31,5,FALSE)</f>
        <v>BELGIUM</v>
      </c>
      <c r="AG294">
        <f>ROW()</f>
        <v>294</v>
      </c>
    </row>
    <row r="295" spans="24:33" hidden="1" x14ac:dyDescent="0.25">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0</v>
      </c>
      <c r="AE295">
        <f>IF(VLOOKUP(Table1[[#This Row],[sheet]],Prg!$A$7:$J$31,10,FALSE)="","",VLOOKUP(Table1[[#This Row],[sheet]],Prg!$A$7:$J$31,10,FALSE)*1)</f>
        <v>1</v>
      </c>
      <c r="AF295" t="str">
        <f>VLOOKUP(Table1[[#This Row],[sheet]],Prg!$A$7:$J$31,5,FALSE)</f>
        <v>BELGIUM</v>
      </c>
      <c r="AG295">
        <f>ROW()</f>
        <v>295</v>
      </c>
    </row>
    <row r="296" spans="24:33" hidden="1" x14ac:dyDescent="0.25">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BELGIUM</v>
      </c>
      <c r="AG296">
        <f>ROW()</f>
        <v>296</v>
      </c>
    </row>
    <row r="297" spans="24:33" hidden="1" x14ac:dyDescent="0.25">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0</v>
      </c>
      <c r="AE297">
        <f>IF(VLOOKUP(Table1[[#This Row],[sheet]],Prg!$A$7:$J$31,10,FALSE)="","",VLOOKUP(Table1[[#This Row],[sheet]],Prg!$A$7:$J$31,10,FALSE)*1)</f>
        <v>1</v>
      </c>
      <c r="AF297" t="str">
        <f>VLOOKUP(Table1[[#This Row],[sheet]],Prg!$A$7:$J$31,5,FALSE)</f>
        <v>BELGIUM</v>
      </c>
      <c r="AG297">
        <f>ROW()</f>
        <v>297</v>
      </c>
    </row>
    <row r="298" spans="24:33" hidden="1" x14ac:dyDescent="0.25">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0</v>
      </c>
      <c r="AE298">
        <f>IF(VLOOKUP(Table1[[#This Row],[sheet]],Prg!$A$7:$J$31,10,FALSE)="","",VLOOKUP(Table1[[#This Row],[sheet]],Prg!$A$7:$J$31,10,FALSE)*1)</f>
        <v>1</v>
      </c>
      <c r="AF298" t="str">
        <f>VLOOKUP(Table1[[#This Row],[sheet]],Prg!$A$7:$J$31,5,FALSE)</f>
        <v>BELGIUM</v>
      </c>
      <c r="AG298">
        <f>ROW()</f>
        <v>298</v>
      </c>
    </row>
    <row r="299" spans="24:33" hidden="1" x14ac:dyDescent="0.25">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115200</v>
      </c>
      <c r="AE299">
        <f>IF(VLOOKUP(Table1[[#This Row],[sheet]],Prg!$A$7:$J$31,10,FALSE)="","",VLOOKUP(Table1[[#This Row],[sheet]],Prg!$A$7:$J$31,10,FALSE)*1)</f>
        <v>1</v>
      </c>
      <c r="AF299" t="str">
        <f>VLOOKUP(Table1[[#This Row],[sheet]],Prg!$A$7:$J$31,5,FALSE)</f>
        <v>BELGIUM</v>
      </c>
      <c r="AG299">
        <f>ROW()</f>
        <v>299</v>
      </c>
    </row>
    <row r="300" spans="24:33" hidden="1" x14ac:dyDescent="0.25">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5000</v>
      </c>
      <c r="AE300">
        <f>IF(VLOOKUP(Table1[[#This Row],[sheet]],Prg!$A$7:$J$31,10,FALSE)="","",VLOOKUP(Table1[[#This Row],[sheet]],Prg!$A$7:$J$31,10,FALSE)*1)</f>
        <v>1</v>
      </c>
      <c r="AF300" t="str">
        <f>VLOOKUP(Table1[[#This Row],[sheet]],Prg!$A$7:$J$31,5,FALSE)</f>
        <v>BELGIUM</v>
      </c>
      <c r="AG300">
        <f>ROW()</f>
        <v>300</v>
      </c>
    </row>
    <row r="301" spans="24:33" hidden="1" x14ac:dyDescent="0.25">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0</v>
      </c>
      <c r="AE301">
        <f>IF(VLOOKUP(Table1[[#This Row],[sheet]],Prg!$A$7:$J$31,10,FALSE)="","",VLOOKUP(Table1[[#This Row],[sheet]],Prg!$A$7:$J$31,10,FALSE)*1)</f>
        <v>1</v>
      </c>
      <c r="AF301" t="str">
        <f>VLOOKUP(Table1[[#This Row],[sheet]],Prg!$A$7:$J$31,5,FALSE)</f>
        <v>BELGIUM</v>
      </c>
      <c r="AG301">
        <f>ROW()</f>
        <v>301</v>
      </c>
    </row>
    <row r="302" spans="24:33" hidden="1" x14ac:dyDescent="0.25">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110200</v>
      </c>
      <c r="AE302">
        <f>IF(VLOOKUP(Table1[[#This Row],[sheet]],Prg!$A$7:$J$31,10,FALSE)="","",VLOOKUP(Table1[[#This Row],[sheet]],Prg!$A$7:$J$31,10,FALSE)*1)</f>
        <v>1</v>
      </c>
      <c r="AF302" t="str">
        <f>VLOOKUP(Table1[[#This Row],[sheet]],Prg!$A$7:$J$31,5,FALSE)</f>
        <v>BELGIUM</v>
      </c>
      <c r="AG302">
        <f>ROW()</f>
        <v>302</v>
      </c>
    </row>
    <row r="303" spans="24:33" hidden="1" x14ac:dyDescent="0.25">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252798.70782835901</v>
      </c>
      <c r="AE303">
        <f>IF(VLOOKUP(Table1[[#This Row],[sheet]],Prg!$A$7:$J$31,10,FALSE)="","",VLOOKUP(Table1[[#This Row],[sheet]],Prg!$A$7:$J$31,10,FALSE)*1)</f>
        <v>1</v>
      </c>
      <c r="AF303" t="str">
        <f>VLOOKUP(Table1[[#This Row],[sheet]],Prg!$A$7:$J$31,5,FALSE)</f>
        <v>BELGIUM</v>
      </c>
      <c r="AG303">
        <f>ROW()</f>
        <v>303</v>
      </c>
    </row>
    <row r="304" spans="24:33" hidden="1" x14ac:dyDescent="0.25">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252798.70782835901</v>
      </c>
      <c r="AE304">
        <f>IF(VLOOKUP(Table1[[#This Row],[sheet]],Prg!$A$7:$J$31,10,FALSE)="","",VLOOKUP(Table1[[#This Row],[sheet]],Prg!$A$7:$J$31,10,FALSE)*1)</f>
        <v>1</v>
      </c>
      <c r="AF304" t="str">
        <f>VLOOKUP(Table1[[#This Row],[sheet]],Prg!$A$7:$J$31,5,FALSE)</f>
        <v>BELGIUM</v>
      </c>
      <c r="AG304">
        <f>ROW()</f>
        <v>304</v>
      </c>
    </row>
    <row r="305" spans="24:33" hidden="1" x14ac:dyDescent="0.25">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0</v>
      </c>
      <c r="AE305">
        <f>IF(VLOOKUP(Table1[[#This Row],[sheet]],Prg!$A$7:$J$31,10,FALSE)="","",VLOOKUP(Table1[[#This Row],[sheet]],Prg!$A$7:$J$31,10,FALSE)*1)</f>
        <v>1</v>
      </c>
      <c r="AF305" t="str">
        <f>VLOOKUP(Table1[[#This Row],[sheet]],Prg!$A$7:$J$31,5,FALSE)</f>
        <v>BELGIUM</v>
      </c>
      <c r="AG305">
        <f>ROW()</f>
        <v>305</v>
      </c>
    </row>
    <row r="306" spans="24:33" hidden="1" x14ac:dyDescent="0.25">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0</v>
      </c>
      <c r="AE306">
        <f>IF(VLOOKUP(Table1[[#This Row],[sheet]],Prg!$A$7:$J$31,10,FALSE)="","",VLOOKUP(Table1[[#This Row],[sheet]],Prg!$A$7:$J$31,10,FALSE)*1)</f>
        <v>1</v>
      </c>
      <c r="AF306" t="str">
        <f>VLOOKUP(Table1[[#This Row],[sheet]],Prg!$A$7:$J$31,5,FALSE)</f>
        <v>BELGIUM</v>
      </c>
      <c r="AG306">
        <f>ROW()</f>
        <v>306</v>
      </c>
    </row>
    <row r="307" spans="24:33" hidden="1" x14ac:dyDescent="0.25">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BELGIUM</v>
      </c>
      <c r="AG307">
        <f>ROW()</f>
        <v>307</v>
      </c>
    </row>
    <row r="308" spans="24:33" hidden="1" x14ac:dyDescent="0.25">
      <c r="X308">
        <v>2</v>
      </c>
      <c r="Y308" s="53" t="s">
        <v>753</v>
      </c>
      <c r="Z308" s="53" t="s">
        <v>162</v>
      </c>
      <c r="AA308" s="53" t="str">
        <f>IF(OR(VLOOKUP(Table1[[#This Row],[sheet]],Prg!$A$7:$F$31,6,FALSE)=Prg!$O$2,VLOOKUP(Table1[[#This Row],[sheet]],Prg!$A$7:$F$31,6,FALSE)=Prg!$O$3),"Yes","No")</f>
        <v>Yes</v>
      </c>
      <c r="AB308" s="53">
        <v>2026</v>
      </c>
      <c r="AC308">
        <v>19</v>
      </c>
      <c r="AD308">
        <f ca="1">IF(ISERROR(VLOOKUP(Table1[[#This Row],[item]],INDIRECT("'"&amp;Table1[[#This Row],[sheet]]&amp;"'!$A$8:$T$42"),Table1[[#This Row],[r]],FALSE)),"",VLOOKUP(Table1[[#This Row],[item]],INDIRECT("'"&amp;Table1[[#This Row],[sheet]]&amp;"'!$A$8:$T$42"),Table1[[#This Row],[r]],FALSE))</f>
        <v>0</v>
      </c>
      <c r="AE308">
        <f>IF(VLOOKUP(Table1[[#This Row],[sheet]],Prg!$A$7:$J$31,10,FALSE)="","",VLOOKUP(Table1[[#This Row],[sheet]],Prg!$A$7:$J$31,10,FALSE)*1)</f>
        <v>1</v>
      </c>
      <c r="AF308" t="str">
        <f>VLOOKUP(Table1[[#This Row],[sheet]],Prg!$A$7:$J$31,5,FALSE)</f>
        <v>BELGIUM</v>
      </c>
      <c r="AG308">
        <f>ROW()</f>
        <v>308</v>
      </c>
    </row>
    <row r="309" spans="24:33" hidden="1" x14ac:dyDescent="0.25">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0</v>
      </c>
      <c r="AE309">
        <f>IF(VLOOKUP(Table1[[#This Row],[sheet]],Prg!$A$7:$J$31,10,FALSE)="","",VLOOKUP(Table1[[#This Row],[sheet]],Prg!$A$7:$J$31,10,FALSE)*1)</f>
        <v>1</v>
      </c>
      <c r="AF309" t="str">
        <f>VLOOKUP(Table1[[#This Row],[sheet]],Prg!$A$7:$J$31,5,FALSE)</f>
        <v>BELGIUM</v>
      </c>
      <c r="AG309">
        <f>ROW()</f>
        <v>309</v>
      </c>
    </row>
    <row r="310" spans="24:33" hidden="1" x14ac:dyDescent="0.25">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0</v>
      </c>
      <c r="AE310">
        <f>IF(VLOOKUP(Table1[[#This Row],[sheet]],Prg!$A$7:$J$31,10,FALSE)="","",VLOOKUP(Table1[[#This Row],[sheet]],Prg!$A$7:$J$31,10,FALSE)*1)</f>
        <v>1</v>
      </c>
      <c r="AF310" t="str">
        <f>VLOOKUP(Table1[[#This Row],[sheet]],Prg!$A$7:$J$31,5,FALSE)</f>
        <v>BELGIUM</v>
      </c>
      <c r="AG310">
        <f>ROW()</f>
        <v>310</v>
      </c>
    </row>
    <row r="311" spans="24:33" hidden="1" x14ac:dyDescent="0.25">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0</v>
      </c>
      <c r="AE311">
        <f>IF(VLOOKUP(Table1[[#This Row],[sheet]],Prg!$A$7:$J$31,10,FALSE)="","",VLOOKUP(Table1[[#This Row],[sheet]],Prg!$A$7:$J$31,10,FALSE)*1)</f>
        <v>1</v>
      </c>
      <c r="AF311" t="str">
        <f>VLOOKUP(Table1[[#This Row],[sheet]],Prg!$A$7:$J$31,5,FALSE)</f>
        <v>BELGIUM</v>
      </c>
      <c r="AG311">
        <f>ROW()</f>
        <v>311</v>
      </c>
    </row>
    <row r="312" spans="24:33" hidden="1" x14ac:dyDescent="0.25">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59000</v>
      </c>
      <c r="AE312">
        <f>IF(VLOOKUP(Table1[[#This Row],[sheet]],Prg!$A$7:$J$31,10,FALSE)="","",VLOOKUP(Table1[[#This Row],[sheet]],Prg!$A$7:$J$31,10,FALSE)*1)</f>
        <v>1</v>
      </c>
      <c r="AF312" t="str">
        <f>VLOOKUP(Table1[[#This Row],[sheet]],Prg!$A$7:$J$31,5,FALSE)</f>
        <v>BELGIUM</v>
      </c>
      <c r="AG312">
        <f>ROW()</f>
        <v>312</v>
      </c>
    </row>
    <row r="313" spans="24:33" hidden="1" x14ac:dyDescent="0.25">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BELGIUM</v>
      </c>
      <c r="AG313">
        <f>ROW()</f>
        <v>313</v>
      </c>
    </row>
    <row r="314" spans="24:33" hidden="1" x14ac:dyDescent="0.25">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53000</v>
      </c>
      <c r="AE314">
        <f>IF(VLOOKUP(Table1[[#This Row],[sheet]],Prg!$A$7:$J$31,10,FALSE)="","",VLOOKUP(Table1[[#This Row],[sheet]],Prg!$A$7:$J$31,10,FALSE)*1)</f>
        <v>1</v>
      </c>
      <c r="AF314" t="str">
        <f>VLOOKUP(Table1[[#This Row],[sheet]],Prg!$A$7:$J$31,5,FALSE)</f>
        <v>BELGIUM</v>
      </c>
      <c r="AG314">
        <f>ROW()</f>
        <v>314</v>
      </c>
    </row>
    <row r="315" spans="24:33" hidden="1" x14ac:dyDescent="0.25">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6000</v>
      </c>
      <c r="AE315">
        <f>IF(VLOOKUP(Table1[[#This Row],[sheet]],Prg!$A$7:$J$31,10,FALSE)="","",VLOOKUP(Table1[[#This Row],[sheet]],Prg!$A$7:$J$31,10,FALSE)*1)</f>
        <v>1</v>
      </c>
      <c r="AF315" t="str">
        <f>VLOOKUP(Table1[[#This Row],[sheet]],Prg!$A$7:$J$31,5,FALSE)</f>
        <v>BELGIUM</v>
      </c>
      <c r="AG315">
        <f>ROW()</f>
        <v>315</v>
      </c>
    </row>
    <row r="316" spans="24:33" hidden="1" x14ac:dyDescent="0.25">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0</v>
      </c>
      <c r="AE316">
        <f>IF(VLOOKUP(Table1[[#This Row],[sheet]],Prg!$A$7:$J$31,10,FALSE)="","",VLOOKUP(Table1[[#This Row],[sheet]],Prg!$A$7:$J$31,10,FALSE)*1)</f>
        <v>1</v>
      </c>
      <c r="AF316" t="str">
        <f>VLOOKUP(Table1[[#This Row],[sheet]],Prg!$A$7:$J$31,5,FALSE)</f>
        <v>BELGIUM</v>
      </c>
      <c r="AG316">
        <f>ROW()</f>
        <v>316</v>
      </c>
    </row>
    <row r="317" spans="24:33" hidden="1" x14ac:dyDescent="0.25">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BELGIUM</v>
      </c>
      <c r="AG317">
        <f>ROW()</f>
        <v>317</v>
      </c>
    </row>
    <row r="318" spans="24:33" hidden="1" x14ac:dyDescent="0.25">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0</v>
      </c>
      <c r="AE318">
        <f>IF(VLOOKUP(Table1[[#This Row],[sheet]],Prg!$A$7:$J$31,10,FALSE)="","",VLOOKUP(Table1[[#This Row],[sheet]],Prg!$A$7:$J$31,10,FALSE)*1)</f>
        <v>1</v>
      </c>
      <c r="AF318" t="str">
        <f>VLOOKUP(Table1[[#This Row],[sheet]],Prg!$A$7:$J$31,5,FALSE)</f>
        <v>BELGIUM</v>
      </c>
      <c r="AG318">
        <f>ROW()</f>
        <v>318</v>
      </c>
    </row>
    <row r="319" spans="24:33" hidden="1" x14ac:dyDescent="0.25">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0</v>
      </c>
      <c r="AE319">
        <f>IF(VLOOKUP(Table1[[#This Row],[sheet]],Prg!$A$7:$J$31,10,FALSE)="","",VLOOKUP(Table1[[#This Row],[sheet]],Prg!$A$7:$J$31,10,FALSE)*1)</f>
        <v>1</v>
      </c>
      <c r="AF319" t="str">
        <f>VLOOKUP(Table1[[#This Row],[sheet]],Prg!$A$7:$J$31,5,FALSE)</f>
        <v>BELGIUM</v>
      </c>
      <c r="AG319">
        <f>ROW()</f>
        <v>319</v>
      </c>
    </row>
    <row r="320" spans="24:33" hidden="1" x14ac:dyDescent="0.25">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278234.68198492634</v>
      </c>
      <c r="AE320">
        <f>IF(VLOOKUP(Table1[[#This Row],[sheet]],Prg!$A$7:$J$31,10,FALSE)="","",VLOOKUP(Table1[[#This Row],[sheet]],Prg!$A$7:$J$31,10,FALSE)*1)</f>
        <v>1</v>
      </c>
      <c r="AF320" t="str">
        <f>VLOOKUP(Table1[[#This Row],[sheet]],Prg!$A$7:$J$31,5,FALSE)</f>
        <v>BELGIUM</v>
      </c>
      <c r="AG320">
        <f>ROW()</f>
        <v>320</v>
      </c>
    </row>
    <row r="321" spans="24:33" hidden="1" x14ac:dyDescent="0.25">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BELGIUM</v>
      </c>
      <c r="AG321">
        <f>ROW()</f>
        <v>321</v>
      </c>
    </row>
    <row r="322" spans="24:33" hidden="1" x14ac:dyDescent="0.25">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62200</v>
      </c>
      <c r="AE322">
        <f>IF(VLOOKUP(Table1[[#This Row],[sheet]],Prg!$A$7:$J$31,10,FALSE)="","",VLOOKUP(Table1[[#This Row],[sheet]],Prg!$A$7:$J$31,10,FALSE)*1)</f>
        <v>1</v>
      </c>
      <c r="AF322" t="str">
        <f>VLOOKUP(Table1[[#This Row],[sheet]],Prg!$A$7:$J$31,5,FALSE)</f>
        <v>BELGIUM</v>
      </c>
      <c r="AG322">
        <f>ROW()</f>
        <v>322</v>
      </c>
    </row>
    <row r="323" spans="24:33" hidden="1" x14ac:dyDescent="0.25">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216034.68198492637</v>
      </c>
      <c r="AE323">
        <f>IF(VLOOKUP(Table1[[#This Row],[sheet]],Prg!$A$7:$J$31,10,FALSE)="","",VLOOKUP(Table1[[#This Row],[sheet]],Prg!$A$7:$J$31,10,FALSE)*1)</f>
        <v>1</v>
      </c>
      <c r="AF323" t="str">
        <f>VLOOKUP(Table1[[#This Row],[sheet]],Prg!$A$7:$J$31,5,FALSE)</f>
        <v>BELGIUM</v>
      </c>
      <c r="AG323">
        <f>ROW()</f>
        <v>323</v>
      </c>
    </row>
    <row r="324" spans="24:33" hidden="1" x14ac:dyDescent="0.25">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337234.68198492599</v>
      </c>
      <c r="AE324">
        <f>IF(VLOOKUP(Table1[[#This Row],[sheet]],Prg!$A$7:$J$31,10,FALSE)="","",VLOOKUP(Table1[[#This Row],[sheet]],Prg!$A$7:$J$31,10,FALSE)*1)</f>
        <v>1</v>
      </c>
      <c r="AF324" t="str">
        <f>VLOOKUP(Table1[[#This Row],[sheet]],Prg!$A$7:$J$31,5,FALSE)</f>
        <v>BELGIUM</v>
      </c>
      <c r="AG324">
        <f>ROW()</f>
        <v>324</v>
      </c>
    </row>
    <row r="325" spans="24:33" hidden="1" x14ac:dyDescent="0.25">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0</v>
      </c>
      <c r="AE325">
        <f>IF(VLOOKUP(Table1[[#This Row],[sheet]],Prg!$A$7:$J$31,10,FALSE)="","",VLOOKUP(Table1[[#This Row],[sheet]],Prg!$A$7:$J$31,10,FALSE)*1)</f>
        <v>1</v>
      </c>
      <c r="AF325" t="str">
        <f>VLOOKUP(Table1[[#This Row],[sheet]],Prg!$A$7:$J$31,5,FALSE)</f>
        <v>BELGIUM</v>
      </c>
      <c r="AG325">
        <f>ROW()</f>
        <v>325</v>
      </c>
    </row>
    <row r="326" spans="24:33" hidden="1" x14ac:dyDescent="0.25">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0</v>
      </c>
      <c r="AE326">
        <f>IF(VLOOKUP(Table1[[#This Row],[sheet]],Prg!$A$7:$J$31,10,FALSE)="","",VLOOKUP(Table1[[#This Row],[sheet]],Prg!$A$7:$J$31,10,FALSE)*1)</f>
        <v>1</v>
      </c>
      <c r="AF326" t="str">
        <f>VLOOKUP(Table1[[#This Row],[sheet]],Prg!$A$7:$J$31,5,FALSE)</f>
        <v>BELGIUM</v>
      </c>
      <c r="AG326">
        <f>ROW()</f>
        <v>326</v>
      </c>
    </row>
    <row r="327" spans="24:33" hidden="1" x14ac:dyDescent="0.25">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0</v>
      </c>
      <c r="AE327">
        <f>IF(VLOOKUP(Table1[[#This Row],[sheet]],Prg!$A$7:$J$31,10,FALSE)="","",VLOOKUP(Table1[[#This Row],[sheet]],Prg!$A$7:$J$31,10,FALSE)*1)</f>
        <v>1</v>
      </c>
      <c r="AF327" t="str">
        <f>VLOOKUP(Table1[[#This Row],[sheet]],Prg!$A$7:$J$31,5,FALSE)</f>
        <v>BELGIUM</v>
      </c>
      <c r="AG327">
        <f>ROW()</f>
        <v>327</v>
      </c>
    </row>
    <row r="328" spans="24:33" hidden="1" x14ac:dyDescent="0.25">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0</v>
      </c>
      <c r="AE328">
        <f>IF(VLOOKUP(Table1[[#This Row],[sheet]],Prg!$A$7:$J$31,10,FALSE)="","",VLOOKUP(Table1[[#This Row],[sheet]],Prg!$A$7:$J$31,10,FALSE)*1)</f>
        <v>1</v>
      </c>
      <c r="AF328" t="str">
        <f>VLOOKUP(Table1[[#This Row],[sheet]],Prg!$A$7:$J$31,5,FALSE)</f>
        <v>BELGIUM</v>
      </c>
      <c r="AG328">
        <f>ROW()</f>
        <v>328</v>
      </c>
    </row>
    <row r="329" spans="24:33" hidden="1" x14ac:dyDescent="0.25">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115200</v>
      </c>
      <c r="AE329">
        <f>IF(VLOOKUP(Table1[[#This Row],[sheet]],Prg!$A$7:$J$31,10,FALSE)="","",VLOOKUP(Table1[[#This Row],[sheet]],Prg!$A$7:$J$31,10,FALSE)*1)</f>
        <v>1</v>
      </c>
      <c r="AF329" t="str">
        <f>VLOOKUP(Table1[[#This Row],[sheet]],Prg!$A$7:$J$31,5,FALSE)</f>
        <v>BELGIUM</v>
      </c>
      <c r="AG329">
        <f>ROW()</f>
        <v>329</v>
      </c>
    </row>
    <row r="330" spans="24:33" hidden="1" x14ac:dyDescent="0.25">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5000</v>
      </c>
      <c r="AE330">
        <f>IF(VLOOKUP(Table1[[#This Row],[sheet]],Prg!$A$7:$J$31,10,FALSE)="","",VLOOKUP(Table1[[#This Row],[sheet]],Prg!$A$7:$J$31,10,FALSE)*1)</f>
        <v>1</v>
      </c>
      <c r="AF330" t="str">
        <f>VLOOKUP(Table1[[#This Row],[sheet]],Prg!$A$7:$J$31,5,FALSE)</f>
        <v>BELGIUM</v>
      </c>
      <c r="AG330">
        <f>ROW()</f>
        <v>330</v>
      </c>
    </row>
    <row r="331" spans="24:33" hidden="1" x14ac:dyDescent="0.25">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0</v>
      </c>
      <c r="AE331">
        <f>IF(VLOOKUP(Table1[[#This Row],[sheet]],Prg!$A$7:$J$31,10,FALSE)="","",VLOOKUP(Table1[[#This Row],[sheet]],Prg!$A$7:$J$31,10,FALSE)*1)</f>
        <v>1</v>
      </c>
      <c r="AF331" t="str">
        <f>VLOOKUP(Table1[[#This Row],[sheet]],Prg!$A$7:$J$31,5,FALSE)</f>
        <v>BELGIUM</v>
      </c>
      <c r="AG331">
        <f>ROW()</f>
        <v>331</v>
      </c>
    </row>
    <row r="332" spans="24:33" hidden="1" x14ac:dyDescent="0.25">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110200</v>
      </c>
      <c r="AE332">
        <f>IF(VLOOKUP(Table1[[#This Row],[sheet]],Prg!$A$7:$J$31,10,FALSE)="","",VLOOKUP(Table1[[#This Row],[sheet]],Prg!$A$7:$J$31,10,FALSE)*1)</f>
        <v>1</v>
      </c>
      <c r="AF332" t="str">
        <f>VLOOKUP(Table1[[#This Row],[sheet]],Prg!$A$7:$J$31,5,FALSE)</f>
        <v>BELGIUM</v>
      </c>
      <c r="AG332">
        <f>ROW()</f>
        <v>332</v>
      </c>
    </row>
    <row r="333" spans="24:33" hidden="1" x14ac:dyDescent="0.25">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222034.68198492599</v>
      </c>
      <c r="AE333">
        <f>IF(VLOOKUP(Table1[[#This Row],[sheet]],Prg!$A$7:$J$31,10,FALSE)="","",VLOOKUP(Table1[[#This Row],[sheet]],Prg!$A$7:$J$31,10,FALSE)*1)</f>
        <v>1</v>
      </c>
      <c r="AF333" t="str">
        <f>VLOOKUP(Table1[[#This Row],[sheet]],Prg!$A$7:$J$31,5,FALSE)</f>
        <v>BELGIUM</v>
      </c>
      <c r="AG333">
        <f>ROW()</f>
        <v>333</v>
      </c>
    </row>
    <row r="334" spans="24:33" hidden="1" x14ac:dyDescent="0.25">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222034.68198492599</v>
      </c>
      <c r="AE334">
        <f>IF(VLOOKUP(Table1[[#This Row],[sheet]],Prg!$A$7:$J$31,10,FALSE)="","",VLOOKUP(Table1[[#This Row],[sheet]],Prg!$A$7:$J$31,10,FALSE)*1)</f>
        <v>1</v>
      </c>
      <c r="AF334" t="str">
        <f>VLOOKUP(Table1[[#This Row],[sheet]],Prg!$A$7:$J$31,5,FALSE)</f>
        <v>BELGIUM</v>
      </c>
      <c r="AG334">
        <f>ROW()</f>
        <v>334</v>
      </c>
    </row>
    <row r="335" spans="24:33" hidden="1" x14ac:dyDescent="0.25">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0</v>
      </c>
      <c r="AE335">
        <f>IF(VLOOKUP(Table1[[#This Row],[sheet]],Prg!$A$7:$J$31,10,FALSE)="","",VLOOKUP(Table1[[#This Row],[sheet]],Prg!$A$7:$J$31,10,FALSE)*1)</f>
        <v>1</v>
      </c>
      <c r="AF335" t="str">
        <f>VLOOKUP(Table1[[#This Row],[sheet]],Prg!$A$7:$J$31,5,FALSE)</f>
        <v>BELGIUM</v>
      </c>
      <c r="AG335">
        <f>ROW()</f>
        <v>335</v>
      </c>
    </row>
    <row r="336" spans="24:33" hidden="1" x14ac:dyDescent="0.25">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0</v>
      </c>
      <c r="AE336">
        <f>IF(VLOOKUP(Table1[[#This Row],[sheet]],Prg!$A$7:$J$31,10,FALSE)="","",VLOOKUP(Table1[[#This Row],[sheet]],Prg!$A$7:$J$31,10,FALSE)*1)</f>
        <v>1</v>
      </c>
      <c r="AF336" t="str">
        <f>VLOOKUP(Table1[[#This Row],[sheet]],Prg!$A$7:$J$31,5,FALSE)</f>
        <v>BELGIUM</v>
      </c>
      <c r="AG336">
        <f>ROW()</f>
        <v>336</v>
      </c>
    </row>
    <row r="337" spans="24:33" hidden="1" x14ac:dyDescent="0.25">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BELGIUM</v>
      </c>
      <c r="AG337">
        <f>ROW()</f>
        <v>337</v>
      </c>
    </row>
    <row r="338" spans="24:33" hidden="1" x14ac:dyDescent="0.25">
      <c r="X338">
        <v>2</v>
      </c>
      <c r="Y338" s="53" t="s">
        <v>753</v>
      </c>
      <c r="Z338" s="53" t="s">
        <v>162</v>
      </c>
      <c r="AA338" s="53" t="str">
        <f>IF(OR(VLOOKUP(Table1[[#This Row],[sheet]],Prg!$A$7:$F$31,6,FALSE)=Prg!$O$2,VLOOKUP(Table1[[#This Row],[sheet]],Prg!$A$7:$F$31,6,FALSE)=Prg!$O$3),"Yes","No")</f>
        <v>Yes</v>
      </c>
      <c r="AB338" s="53" t="s">
        <v>78</v>
      </c>
      <c r="AC338">
        <v>20</v>
      </c>
      <c r="AD338">
        <f ca="1">IF(ISERROR(VLOOKUP(Table1[[#This Row],[item]],INDIRECT("'"&amp;Table1[[#This Row],[sheet]]&amp;"'!$A$8:$T$42"),Table1[[#This Row],[r]],FALSE)),"",VLOOKUP(Table1[[#This Row],[item]],INDIRECT("'"&amp;Table1[[#This Row],[sheet]]&amp;"'!$A$8:$T$42"),Table1[[#This Row],[r]],FALSE))</f>
        <v>0</v>
      </c>
      <c r="AE338">
        <f>IF(VLOOKUP(Table1[[#This Row],[sheet]],Prg!$A$7:$J$31,10,FALSE)="","",VLOOKUP(Table1[[#This Row],[sheet]],Prg!$A$7:$J$31,10,FALSE)*1)</f>
        <v>1</v>
      </c>
      <c r="AF338" t="str">
        <f>VLOOKUP(Table1[[#This Row],[sheet]],Prg!$A$7:$J$31,5,FALSE)</f>
        <v>BELGIUM</v>
      </c>
      <c r="AG338">
        <f>ROW()</f>
        <v>338</v>
      </c>
    </row>
    <row r="339" spans="24:33" hidden="1" x14ac:dyDescent="0.25">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0</v>
      </c>
      <c r="AE339">
        <f>IF(VLOOKUP(Table1[[#This Row],[sheet]],Prg!$A$7:$J$31,10,FALSE)="","",VLOOKUP(Table1[[#This Row],[sheet]],Prg!$A$7:$J$31,10,FALSE)*1)</f>
        <v>1</v>
      </c>
      <c r="AF339" t="str">
        <f>VLOOKUP(Table1[[#This Row],[sheet]],Prg!$A$7:$J$31,5,FALSE)</f>
        <v>BELGIUM</v>
      </c>
      <c r="AG339">
        <f>ROW()</f>
        <v>339</v>
      </c>
    </row>
    <row r="340" spans="24:33" hidden="1" x14ac:dyDescent="0.25">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0</v>
      </c>
      <c r="AE340">
        <f>IF(VLOOKUP(Table1[[#This Row],[sheet]],Prg!$A$7:$J$31,10,FALSE)="","",VLOOKUP(Table1[[#This Row],[sheet]],Prg!$A$7:$J$31,10,FALSE)*1)</f>
        <v>1</v>
      </c>
      <c r="AF340" t="str">
        <f>VLOOKUP(Table1[[#This Row],[sheet]],Prg!$A$7:$J$31,5,FALSE)</f>
        <v>BELGIUM</v>
      </c>
      <c r="AG340">
        <f>ROW()</f>
        <v>340</v>
      </c>
    </row>
    <row r="341" spans="24:33" hidden="1" x14ac:dyDescent="0.25">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0</v>
      </c>
      <c r="AE341">
        <f>IF(VLOOKUP(Table1[[#This Row],[sheet]],Prg!$A$7:$J$31,10,FALSE)="","",VLOOKUP(Table1[[#This Row],[sheet]],Prg!$A$7:$J$31,10,FALSE)*1)</f>
        <v>1</v>
      </c>
      <c r="AF341" t="str">
        <f>VLOOKUP(Table1[[#This Row],[sheet]],Prg!$A$7:$J$31,5,FALSE)</f>
        <v>BELGIUM</v>
      </c>
      <c r="AG341">
        <f>ROW()</f>
        <v>341</v>
      </c>
    </row>
    <row r="342" spans="24:33" hidden="1" x14ac:dyDescent="0.25">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307400</v>
      </c>
      <c r="AE342">
        <f>IF(VLOOKUP(Table1[[#This Row],[sheet]],Prg!$A$7:$J$31,10,FALSE)="","",VLOOKUP(Table1[[#This Row],[sheet]],Prg!$A$7:$J$31,10,FALSE)*1)</f>
        <v>1</v>
      </c>
      <c r="AF342" t="str">
        <f>VLOOKUP(Table1[[#This Row],[sheet]],Prg!$A$7:$J$31,5,FALSE)</f>
        <v>BELGIUM</v>
      </c>
      <c r="AG342">
        <f>ROW()</f>
        <v>342</v>
      </c>
    </row>
    <row r="343" spans="24:33" hidden="1" x14ac:dyDescent="0.25">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BELGIUM</v>
      </c>
      <c r="AG343">
        <f>ROW()</f>
        <v>343</v>
      </c>
    </row>
    <row r="344" spans="24:33" hidden="1" x14ac:dyDescent="0.25">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276200</v>
      </c>
      <c r="AE344">
        <f>IF(VLOOKUP(Table1[[#This Row],[sheet]],Prg!$A$7:$J$31,10,FALSE)="","",VLOOKUP(Table1[[#This Row],[sheet]],Prg!$A$7:$J$31,10,FALSE)*1)</f>
        <v>1</v>
      </c>
      <c r="AF344" t="str">
        <f>VLOOKUP(Table1[[#This Row],[sheet]],Prg!$A$7:$J$31,5,FALSE)</f>
        <v>BELGIUM</v>
      </c>
      <c r="AG344">
        <f>ROW()</f>
        <v>344</v>
      </c>
    </row>
    <row r="345" spans="24:33" hidden="1" x14ac:dyDescent="0.25">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31200</v>
      </c>
      <c r="AE345">
        <f>IF(VLOOKUP(Table1[[#This Row],[sheet]],Prg!$A$7:$J$31,10,FALSE)="","",VLOOKUP(Table1[[#This Row],[sheet]],Prg!$A$7:$J$31,10,FALSE)*1)</f>
        <v>1</v>
      </c>
      <c r="AF345" t="str">
        <f>VLOOKUP(Table1[[#This Row],[sheet]],Prg!$A$7:$J$31,5,FALSE)</f>
        <v>BELGIUM</v>
      </c>
      <c r="AG345">
        <f>ROW()</f>
        <v>345</v>
      </c>
    </row>
    <row r="346" spans="24:33" hidden="1" x14ac:dyDescent="0.25">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0</v>
      </c>
      <c r="AE346">
        <f>IF(VLOOKUP(Table1[[#This Row],[sheet]],Prg!$A$7:$J$31,10,FALSE)="","",VLOOKUP(Table1[[#This Row],[sheet]],Prg!$A$7:$J$31,10,FALSE)*1)</f>
        <v>1</v>
      </c>
      <c r="AF346" t="str">
        <f>VLOOKUP(Table1[[#This Row],[sheet]],Prg!$A$7:$J$31,5,FALSE)</f>
        <v>BELGIUM</v>
      </c>
      <c r="AG346">
        <f>ROW()</f>
        <v>346</v>
      </c>
    </row>
    <row r="347" spans="24:33" hidden="1" x14ac:dyDescent="0.25">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0</v>
      </c>
      <c r="AE347">
        <f>IF(VLOOKUP(Table1[[#This Row],[sheet]],Prg!$A$7:$J$31,10,FALSE)="","",VLOOKUP(Table1[[#This Row],[sheet]],Prg!$A$7:$J$31,10,FALSE)*1)</f>
        <v>1</v>
      </c>
      <c r="AF347" t="str">
        <f>VLOOKUP(Table1[[#This Row],[sheet]],Prg!$A$7:$J$31,5,FALSE)</f>
        <v>BELGIUM</v>
      </c>
      <c r="AG347">
        <f>ROW()</f>
        <v>347</v>
      </c>
    </row>
    <row r="348" spans="24:33" hidden="1" x14ac:dyDescent="0.25">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0</v>
      </c>
      <c r="AE348">
        <f>IF(VLOOKUP(Table1[[#This Row],[sheet]],Prg!$A$7:$J$31,10,FALSE)="","",VLOOKUP(Table1[[#This Row],[sheet]],Prg!$A$7:$J$31,10,FALSE)*1)</f>
        <v>1</v>
      </c>
      <c r="AF348" t="str">
        <f>VLOOKUP(Table1[[#This Row],[sheet]],Prg!$A$7:$J$31,5,FALSE)</f>
        <v>BELGIUM</v>
      </c>
      <c r="AG348">
        <f>ROW()</f>
        <v>348</v>
      </c>
    </row>
    <row r="349" spans="24:33" hidden="1" x14ac:dyDescent="0.25">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0</v>
      </c>
      <c r="AE349">
        <f>IF(VLOOKUP(Table1[[#This Row],[sheet]],Prg!$A$7:$J$31,10,FALSE)="","",VLOOKUP(Table1[[#This Row],[sheet]],Prg!$A$7:$J$31,10,FALSE)*1)</f>
        <v>1</v>
      </c>
      <c r="AF349" t="str">
        <f>VLOOKUP(Table1[[#This Row],[sheet]],Prg!$A$7:$J$31,5,FALSE)</f>
        <v>BELGIUM</v>
      </c>
      <c r="AG349">
        <f>ROW()</f>
        <v>349</v>
      </c>
    </row>
    <row r="350" spans="24:33" hidden="1" x14ac:dyDescent="0.25">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1403061.4999999991</v>
      </c>
      <c r="AE350">
        <f>IF(VLOOKUP(Table1[[#This Row],[sheet]],Prg!$A$7:$J$31,10,FALSE)="","",VLOOKUP(Table1[[#This Row],[sheet]],Prg!$A$7:$J$31,10,FALSE)*1)</f>
        <v>1</v>
      </c>
      <c r="AF350" t="str">
        <f>VLOOKUP(Table1[[#This Row],[sheet]],Prg!$A$7:$J$31,5,FALSE)</f>
        <v>BELGIUM</v>
      </c>
      <c r="AG350">
        <f>ROW()</f>
        <v>350</v>
      </c>
    </row>
    <row r="351" spans="24:33" hidden="1" x14ac:dyDescent="0.25">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0</v>
      </c>
      <c r="AE351">
        <f>IF(VLOOKUP(Table1[[#This Row],[sheet]],Prg!$A$7:$J$31,10,FALSE)="","",VLOOKUP(Table1[[#This Row],[sheet]],Prg!$A$7:$J$31,10,FALSE)*1)</f>
        <v>1</v>
      </c>
      <c r="AF351" t="str">
        <f>VLOOKUP(Table1[[#This Row],[sheet]],Prg!$A$7:$J$31,5,FALSE)</f>
        <v>BELGIUM</v>
      </c>
      <c r="AG351">
        <f>ROW()</f>
        <v>351</v>
      </c>
    </row>
    <row r="352" spans="24:33" hidden="1" x14ac:dyDescent="0.25">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345300</v>
      </c>
      <c r="AE352">
        <f>IF(VLOOKUP(Table1[[#This Row],[sheet]],Prg!$A$7:$J$31,10,FALSE)="","",VLOOKUP(Table1[[#This Row],[sheet]],Prg!$A$7:$J$31,10,FALSE)*1)</f>
        <v>1</v>
      </c>
      <c r="AF352" t="str">
        <f>VLOOKUP(Table1[[#This Row],[sheet]],Prg!$A$7:$J$31,5,FALSE)</f>
        <v>BELGIUM</v>
      </c>
      <c r="AG352">
        <f>ROW()</f>
        <v>352</v>
      </c>
    </row>
    <row r="353" spans="24:33" hidden="1" x14ac:dyDescent="0.25">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1057761.4999999991</v>
      </c>
      <c r="AE353">
        <f>IF(VLOOKUP(Table1[[#This Row],[sheet]],Prg!$A$7:$J$31,10,FALSE)="","",VLOOKUP(Table1[[#This Row],[sheet]],Prg!$A$7:$J$31,10,FALSE)*1)</f>
        <v>1</v>
      </c>
      <c r="AF353" t="str">
        <f>VLOOKUP(Table1[[#This Row],[sheet]],Prg!$A$7:$J$31,5,FALSE)</f>
        <v>BELGIUM</v>
      </c>
      <c r="AG353">
        <f>ROW()</f>
        <v>353</v>
      </c>
    </row>
    <row r="354" spans="24:33" hidden="1" x14ac:dyDescent="0.25">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1710461.4999999991</v>
      </c>
      <c r="AE354">
        <f>IF(VLOOKUP(Table1[[#This Row],[sheet]],Prg!$A$7:$J$31,10,FALSE)="","",VLOOKUP(Table1[[#This Row],[sheet]],Prg!$A$7:$J$31,10,FALSE)*1)</f>
        <v>1</v>
      </c>
      <c r="AF354" t="str">
        <f>VLOOKUP(Table1[[#This Row],[sheet]],Prg!$A$7:$J$31,5,FALSE)</f>
        <v>BELGIUM</v>
      </c>
      <c r="AG354">
        <f>ROW()</f>
        <v>354</v>
      </c>
    </row>
    <row r="355" spans="24:33" hidden="1" x14ac:dyDescent="0.25">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0</v>
      </c>
      <c r="AE355">
        <f>IF(VLOOKUP(Table1[[#This Row],[sheet]],Prg!$A$7:$J$31,10,FALSE)="","",VLOOKUP(Table1[[#This Row],[sheet]],Prg!$A$7:$J$31,10,FALSE)*1)</f>
        <v>1</v>
      </c>
      <c r="AF355" t="str">
        <f>VLOOKUP(Table1[[#This Row],[sheet]],Prg!$A$7:$J$31,5,FALSE)</f>
        <v>BELGIUM</v>
      </c>
      <c r="AG355">
        <f>ROW()</f>
        <v>355</v>
      </c>
    </row>
    <row r="356" spans="24:33" hidden="1" x14ac:dyDescent="0.25">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0</v>
      </c>
      <c r="AE356">
        <f>IF(VLOOKUP(Table1[[#This Row],[sheet]],Prg!$A$7:$J$31,10,FALSE)="","",VLOOKUP(Table1[[#This Row],[sheet]],Prg!$A$7:$J$31,10,FALSE)*1)</f>
        <v>1</v>
      </c>
      <c r="AF356" t="str">
        <f>VLOOKUP(Table1[[#This Row],[sheet]],Prg!$A$7:$J$31,5,FALSE)</f>
        <v>BELGIUM</v>
      </c>
      <c r="AG356">
        <f>ROW()</f>
        <v>356</v>
      </c>
    </row>
    <row r="357" spans="24:33" hidden="1" x14ac:dyDescent="0.25">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0</v>
      </c>
      <c r="AE357">
        <f>IF(VLOOKUP(Table1[[#This Row],[sheet]],Prg!$A$7:$J$31,10,FALSE)="","",VLOOKUP(Table1[[#This Row],[sheet]],Prg!$A$7:$J$31,10,FALSE)*1)</f>
        <v>1</v>
      </c>
      <c r="AF357" t="str">
        <f>VLOOKUP(Table1[[#This Row],[sheet]],Prg!$A$7:$J$31,5,FALSE)</f>
        <v>BELGIUM</v>
      </c>
      <c r="AG357">
        <f>ROW()</f>
        <v>357</v>
      </c>
    </row>
    <row r="358" spans="24:33" hidden="1" x14ac:dyDescent="0.25">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0</v>
      </c>
      <c r="AE358">
        <f>IF(VLOOKUP(Table1[[#This Row],[sheet]],Prg!$A$7:$J$31,10,FALSE)="","",VLOOKUP(Table1[[#This Row],[sheet]],Prg!$A$7:$J$31,10,FALSE)*1)</f>
        <v>1</v>
      </c>
      <c r="AF358" t="str">
        <f>VLOOKUP(Table1[[#This Row],[sheet]],Prg!$A$7:$J$31,5,FALSE)</f>
        <v>BELGIUM</v>
      </c>
      <c r="AG358">
        <f>ROW()</f>
        <v>358</v>
      </c>
    </row>
    <row r="359" spans="24:33" hidden="1" x14ac:dyDescent="0.25">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621500</v>
      </c>
      <c r="AE359">
        <f>IF(VLOOKUP(Table1[[#This Row],[sheet]],Prg!$A$7:$J$31,10,FALSE)="","",VLOOKUP(Table1[[#This Row],[sheet]],Prg!$A$7:$J$31,10,FALSE)*1)</f>
        <v>1</v>
      </c>
      <c r="AF359" t="str">
        <f>VLOOKUP(Table1[[#This Row],[sheet]],Prg!$A$7:$J$31,5,FALSE)</f>
        <v>BELGIUM</v>
      </c>
      <c r="AG359">
        <f>ROW()</f>
        <v>359</v>
      </c>
    </row>
    <row r="360" spans="24:33" hidden="1" x14ac:dyDescent="0.25">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33000</v>
      </c>
      <c r="AE360">
        <f>IF(VLOOKUP(Table1[[#This Row],[sheet]],Prg!$A$7:$J$31,10,FALSE)="","",VLOOKUP(Table1[[#This Row],[sheet]],Prg!$A$7:$J$31,10,FALSE)*1)</f>
        <v>1</v>
      </c>
      <c r="AF360" t="str">
        <f>VLOOKUP(Table1[[#This Row],[sheet]],Prg!$A$7:$J$31,5,FALSE)</f>
        <v>BELGIUM</v>
      </c>
      <c r="AG360">
        <f>ROW()</f>
        <v>360</v>
      </c>
    </row>
    <row r="361" spans="24:33" hidden="1" x14ac:dyDescent="0.25">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0</v>
      </c>
      <c r="AE361">
        <f>IF(VLOOKUP(Table1[[#This Row],[sheet]],Prg!$A$7:$J$31,10,FALSE)="","",VLOOKUP(Table1[[#This Row],[sheet]],Prg!$A$7:$J$31,10,FALSE)*1)</f>
        <v>1</v>
      </c>
      <c r="AF361" t="str">
        <f>VLOOKUP(Table1[[#This Row],[sheet]],Prg!$A$7:$J$31,5,FALSE)</f>
        <v>BELGIUM</v>
      </c>
      <c r="AG361">
        <f>ROW()</f>
        <v>361</v>
      </c>
    </row>
    <row r="362" spans="24:33" hidden="1" x14ac:dyDescent="0.25">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588500</v>
      </c>
      <c r="AE362">
        <f>IF(VLOOKUP(Table1[[#This Row],[sheet]],Prg!$A$7:$J$31,10,FALSE)="","",VLOOKUP(Table1[[#This Row],[sheet]],Prg!$A$7:$J$31,10,FALSE)*1)</f>
        <v>1</v>
      </c>
      <c r="AF362" t="str">
        <f>VLOOKUP(Table1[[#This Row],[sheet]],Prg!$A$7:$J$31,5,FALSE)</f>
        <v>BELGIUM</v>
      </c>
      <c r="AG362">
        <f>ROW()</f>
        <v>362</v>
      </c>
    </row>
    <row r="363" spans="24:33" hidden="1" x14ac:dyDescent="0.25">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1088961.4999999991</v>
      </c>
      <c r="AE363">
        <f>IF(VLOOKUP(Table1[[#This Row],[sheet]],Prg!$A$7:$J$31,10,FALSE)="","",VLOOKUP(Table1[[#This Row],[sheet]],Prg!$A$7:$J$31,10,FALSE)*1)</f>
        <v>1</v>
      </c>
      <c r="AF363" t="str">
        <f>VLOOKUP(Table1[[#This Row],[sheet]],Prg!$A$7:$J$31,5,FALSE)</f>
        <v>BELGIUM</v>
      </c>
      <c r="AG363">
        <f>ROW()</f>
        <v>363</v>
      </c>
    </row>
    <row r="364" spans="24:33" hidden="1" x14ac:dyDescent="0.25">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1088961.4999999991</v>
      </c>
      <c r="AE364">
        <f>IF(VLOOKUP(Table1[[#This Row],[sheet]],Prg!$A$7:$J$31,10,FALSE)="","",VLOOKUP(Table1[[#This Row],[sheet]],Prg!$A$7:$J$31,10,FALSE)*1)</f>
        <v>1</v>
      </c>
      <c r="AF364" t="str">
        <f>VLOOKUP(Table1[[#This Row],[sheet]],Prg!$A$7:$J$31,5,FALSE)</f>
        <v>BELGIUM</v>
      </c>
      <c r="AG364">
        <f>ROW()</f>
        <v>364</v>
      </c>
    </row>
    <row r="365" spans="24:33" hidden="1" x14ac:dyDescent="0.25">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0</v>
      </c>
      <c r="AE365">
        <f>IF(VLOOKUP(Table1[[#This Row],[sheet]],Prg!$A$7:$J$31,10,FALSE)="","",VLOOKUP(Table1[[#This Row],[sheet]],Prg!$A$7:$J$31,10,FALSE)*1)</f>
        <v>1</v>
      </c>
      <c r="AF365" t="str">
        <f>VLOOKUP(Table1[[#This Row],[sheet]],Prg!$A$7:$J$31,5,FALSE)</f>
        <v>BELGIUM</v>
      </c>
      <c r="AG365">
        <f>ROW()</f>
        <v>365</v>
      </c>
    </row>
    <row r="366" spans="24:33" hidden="1" x14ac:dyDescent="0.25">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0</v>
      </c>
      <c r="AE366">
        <f>IF(VLOOKUP(Table1[[#This Row],[sheet]],Prg!$A$7:$J$31,10,FALSE)="","",VLOOKUP(Table1[[#This Row],[sheet]],Prg!$A$7:$J$31,10,FALSE)*1)</f>
        <v>1</v>
      </c>
      <c r="AF366" t="str">
        <f>VLOOKUP(Table1[[#This Row],[sheet]],Prg!$A$7:$J$31,5,FALSE)</f>
        <v>BELGIUM</v>
      </c>
      <c r="AG366">
        <f>ROW()</f>
        <v>366</v>
      </c>
    </row>
    <row r="367" spans="24:33" hidden="1" x14ac:dyDescent="0.25">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0</v>
      </c>
      <c r="AE367">
        <f>IF(VLOOKUP(Table1[[#This Row],[sheet]],Prg!$A$7:$J$31,10,FALSE)="","",VLOOKUP(Table1[[#This Row],[sheet]],Prg!$A$7:$J$31,10,FALSE)*1)</f>
        <v>1</v>
      </c>
      <c r="AF367" t="str">
        <f>VLOOKUP(Table1[[#This Row],[sheet]],Prg!$A$7:$J$31,5,FALSE)</f>
        <v>BELGIUM</v>
      </c>
      <c r="AG367">
        <f>ROW()</f>
        <v>367</v>
      </c>
    </row>
    <row r="368" spans="24:33" hidden="1" x14ac:dyDescent="0.25">
      <c r="X368">
        <v>3</v>
      </c>
      <c r="Y368" s="53" t="s">
        <v>753</v>
      </c>
      <c r="Z368" s="53" t="s">
        <v>162</v>
      </c>
      <c r="AA368" s="53" t="str">
        <f>IF(OR(VLOOKUP(Table1[[#This Row],[sheet]],Prg!$A$7:$F$31,6,FALSE)=Prg!$O$2,VLOOKUP(Table1[[#This Row],[sheet]],Prg!$A$7:$F$31,6,FALSE)=Prg!$O$3),"Yes","No")</f>
        <v>Yes</v>
      </c>
      <c r="AB368" s="53">
        <v>2022</v>
      </c>
      <c r="AC368">
        <v>15</v>
      </c>
      <c r="AD368">
        <f ca="1">IF(ISERROR(VLOOKUP(Table1[[#This Row],[item]],INDIRECT("'"&amp;Table1[[#This Row],[sheet]]&amp;"'!$A$8:$T$42"),Table1[[#This Row],[r]],FALSE)),"",VLOOKUP(Table1[[#This Row],[item]],INDIRECT("'"&amp;Table1[[#This Row],[sheet]]&amp;"'!$A$8:$T$42"),Table1[[#This Row],[r]],FALSE))</f>
        <v>681941.9800000001</v>
      </c>
      <c r="AE368">
        <f>IF(VLOOKUP(Table1[[#This Row],[sheet]],Prg!$A$7:$J$31,10,FALSE)="","",VLOOKUP(Table1[[#This Row],[sheet]],Prg!$A$7:$J$31,10,FALSE)*1)</f>
        <v>1</v>
      </c>
      <c r="AF368" t="str">
        <f>VLOOKUP(Table1[[#This Row],[sheet]],Prg!$A$7:$J$31,5,FALSE)</f>
        <v>BURKINA FASO</v>
      </c>
      <c r="AG368">
        <f>ROW()</f>
        <v>368</v>
      </c>
    </row>
    <row r="369" spans="24:33" hidden="1" x14ac:dyDescent="0.25">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41084.53</v>
      </c>
      <c r="AE369">
        <f>IF(VLOOKUP(Table1[[#This Row],[sheet]],Prg!$A$7:$J$31,10,FALSE)="","",VLOOKUP(Table1[[#This Row],[sheet]],Prg!$A$7:$J$31,10,FALSE)*1)</f>
        <v>1</v>
      </c>
      <c r="AF369" t="str">
        <f>VLOOKUP(Table1[[#This Row],[sheet]],Prg!$A$7:$J$31,5,FALSE)</f>
        <v>BURKINA FASO</v>
      </c>
      <c r="AG369">
        <f>ROW()</f>
        <v>369</v>
      </c>
    </row>
    <row r="370" spans="24:33" hidden="1" x14ac:dyDescent="0.25">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529349.29</v>
      </c>
      <c r="AE370">
        <f>IF(VLOOKUP(Table1[[#This Row],[sheet]],Prg!$A$7:$J$31,10,FALSE)="","",VLOOKUP(Table1[[#This Row],[sheet]],Prg!$A$7:$J$31,10,FALSE)*1)</f>
        <v>1</v>
      </c>
      <c r="AF370" t="str">
        <f>VLOOKUP(Table1[[#This Row],[sheet]],Prg!$A$7:$J$31,5,FALSE)</f>
        <v>BURKINA FASO</v>
      </c>
      <c r="AG370">
        <f>ROW()</f>
        <v>370</v>
      </c>
    </row>
    <row r="371" spans="24:33" hidden="1" x14ac:dyDescent="0.25">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111508.16</v>
      </c>
      <c r="AE371">
        <f>IF(VLOOKUP(Table1[[#This Row],[sheet]],Prg!$A$7:$J$31,10,FALSE)="","",VLOOKUP(Table1[[#This Row],[sheet]],Prg!$A$7:$J$31,10,FALSE)*1)</f>
        <v>1</v>
      </c>
      <c r="AF371" t="str">
        <f>VLOOKUP(Table1[[#This Row],[sheet]],Prg!$A$7:$J$31,5,FALSE)</f>
        <v>BURKINA FASO</v>
      </c>
      <c r="AG371">
        <f>ROW()</f>
        <v>371</v>
      </c>
    </row>
    <row r="372" spans="24:33" hidden="1" x14ac:dyDescent="0.25">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17000</v>
      </c>
      <c r="AE372">
        <f>IF(VLOOKUP(Table1[[#This Row],[sheet]],Prg!$A$7:$J$31,10,FALSE)="","",VLOOKUP(Table1[[#This Row],[sheet]],Prg!$A$7:$J$31,10,FALSE)*1)</f>
        <v>1</v>
      </c>
      <c r="AF372" t="str">
        <f>VLOOKUP(Table1[[#This Row],[sheet]],Prg!$A$7:$J$31,5,FALSE)</f>
        <v>BURKINA FASO</v>
      </c>
      <c r="AG372">
        <f>ROW()</f>
        <v>372</v>
      </c>
    </row>
    <row r="373" spans="24:33" hidden="1" x14ac:dyDescent="0.25">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BURKINA FASO</v>
      </c>
      <c r="AG373">
        <f>ROW()</f>
        <v>373</v>
      </c>
    </row>
    <row r="374" spans="24:33" hidden="1" x14ac:dyDescent="0.25">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17000</v>
      </c>
      <c r="AE374">
        <f>IF(VLOOKUP(Table1[[#This Row],[sheet]],Prg!$A$7:$J$31,10,FALSE)="","",VLOOKUP(Table1[[#This Row],[sheet]],Prg!$A$7:$J$31,10,FALSE)*1)</f>
        <v>1</v>
      </c>
      <c r="AF374" t="str">
        <f>VLOOKUP(Table1[[#This Row],[sheet]],Prg!$A$7:$J$31,5,FALSE)</f>
        <v>BURKINA FASO</v>
      </c>
      <c r="AG374">
        <f>ROW()</f>
        <v>374</v>
      </c>
    </row>
    <row r="375" spans="24:33" hidden="1" x14ac:dyDescent="0.25">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BURKINA FASO</v>
      </c>
      <c r="AG375">
        <f>ROW()</f>
        <v>375</v>
      </c>
    </row>
    <row r="376" spans="24:33" hidden="1" x14ac:dyDescent="0.25">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158000</v>
      </c>
      <c r="AE376">
        <f>IF(VLOOKUP(Table1[[#This Row],[sheet]],Prg!$A$7:$J$31,10,FALSE)="","",VLOOKUP(Table1[[#This Row],[sheet]],Prg!$A$7:$J$31,10,FALSE)*1)</f>
        <v>1</v>
      </c>
      <c r="AF376" t="str">
        <f>VLOOKUP(Table1[[#This Row],[sheet]],Prg!$A$7:$J$31,5,FALSE)</f>
        <v>BURKINA FASO</v>
      </c>
      <c r="AG376">
        <f>ROW()</f>
        <v>376</v>
      </c>
    </row>
    <row r="377" spans="24:33" hidden="1" x14ac:dyDescent="0.25">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1524.49</v>
      </c>
      <c r="AE377">
        <f>IF(VLOOKUP(Table1[[#This Row],[sheet]],Prg!$A$7:$J$31,10,FALSE)="","",VLOOKUP(Table1[[#This Row],[sheet]],Prg!$A$7:$J$31,10,FALSE)*1)</f>
        <v>1</v>
      </c>
      <c r="AF377" t="str">
        <f>VLOOKUP(Table1[[#This Row],[sheet]],Prg!$A$7:$J$31,5,FALSE)</f>
        <v>BURKINA FASO</v>
      </c>
      <c r="AG377">
        <f>ROW()</f>
        <v>377</v>
      </c>
    </row>
    <row r="378" spans="24:33" hidden="1" x14ac:dyDescent="0.25">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64772.36</v>
      </c>
      <c r="AE378">
        <f>IF(VLOOKUP(Table1[[#This Row],[sheet]],Prg!$A$7:$J$31,10,FALSE)="","",VLOOKUP(Table1[[#This Row],[sheet]],Prg!$A$7:$J$31,10,FALSE)*1)</f>
        <v>1</v>
      </c>
      <c r="AF378" t="str">
        <f>VLOOKUP(Table1[[#This Row],[sheet]],Prg!$A$7:$J$31,5,FALSE)</f>
        <v>BURKINA FASO</v>
      </c>
      <c r="AG378">
        <f>ROW()</f>
        <v>378</v>
      </c>
    </row>
    <row r="379" spans="24:33" hidden="1" x14ac:dyDescent="0.25">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91703.15</v>
      </c>
      <c r="AE379">
        <f>IF(VLOOKUP(Table1[[#This Row],[sheet]],Prg!$A$7:$J$31,10,FALSE)="","",VLOOKUP(Table1[[#This Row],[sheet]],Prg!$A$7:$J$31,10,FALSE)*1)</f>
        <v>1</v>
      </c>
      <c r="AF379" t="str">
        <f>VLOOKUP(Table1[[#This Row],[sheet]],Prg!$A$7:$J$31,5,FALSE)</f>
        <v>BURKINA FASO</v>
      </c>
      <c r="AG379">
        <f>ROW()</f>
        <v>379</v>
      </c>
    </row>
    <row r="380" spans="24:33" hidden="1" x14ac:dyDescent="0.25">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4000</v>
      </c>
      <c r="AE380">
        <f>IF(VLOOKUP(Table1[[#This Row],[sheet]],Prg!$A$7:$J$31,10,FALSE)="","",VLOOKUP(Table1[[#This Row],[sheet]],Prg!$A$7:$J$31,10,FALSE)*1)</f>
        <v>1</v>
      </c>
      <c r="AF380" t="str">
        <f>VLOOKUP(Table1[[#This Row],[sheet]],Prg!$A$7:$J$31,5,FALSE)</f>
        <v>BURKINA FASO</v>
      </c>
      <c r="AG380">
        <f>ROW()</f>
        <v>380</v>
      </c>
    </row>
    <row r="381" spans="24:33" hidden="1" x14ac:dyDescent="0.25">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0</v>
      </c>
      <c r="AE381">
        <f>IF(VLOOKUP(Table1[[#This Row],[sheet]],Prg!$A$7:$J$31,10,FALSE)="","",VLOOKUP(Table1[[#This Row],[sheet]],Prg!$A$7:$J$31,10,FALSE)*1)</f>
        <v>1</v>
      </c>
      <c r="AF381" t="str">
        <f>VLOOKUP(Table1[[#This Row],[sheet]],Prg!$A$7:$J$31,5,FALSE)</f>
        <v>BURKINA FASO</v>
      </c>
      <c r="AG381">
        <f>ROW()</f>
        <v>381</v>
      </c>
    </row>
    <row r="382" spans="24:33" hidden="1" x14ac:dyDescent="0.25">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4000</v>
      </c>
      <c r="AE382">
        <f>IF(VLOOKUP(Table1[[#This Row],[sheet]],Prg!$A$7:$J$31,10,FALSE)="","",VLOOKUP(Table1[[#This Row],[sheet]],Prg!$A$7:$J$31,10,FALSE)*1)</f>
        <v>1</v>
      </c>
      <c r="AF382" t="str">
        <f>VLOOKUP(Table1[[#This Row],[sheet]],Prg!$A$7:$J$31,5,FALSE)</f>
        <v>BURKINA FASO</v>
      </c>
      <c r="AG382">
        <f>ROW()</f>
        <v>382</v>
      </c>
    </row>
    <row r="383" spans="24:33" hidden="1" x14ac:dyDescent="0.25">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0</v>
      </c>
      <c r="AE383">
        <f>IF(VLOOKUP(Table1[[#This Row],[sheet]],Prg!$A$7:$J$31,10,FALSE)="","",VLOOKUP(Table1[[#This Row],[sheet]],Prg!$A$7:$J$31,10,FALSE)*1)</f>
        <v>1</v>
      </c>
      <c r="AF383" t="str">
        <f>VLOOKUP(Table1[[#This Row],[sheet]],Prg!$A$7:$J$31,5,FALSE)</f>
        <v>BURKINA FASO</v>
      </c>
      <c r="AG383">
        <f>ROW()</f>
        <v>383</v>
      </c>
    </row>
    <row r="384" spans="24:33" hidden="1" x14ac:dyDescent="0.25">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860942</v>
      </c>
      <c r="AE384">
        <f>IF(VLOOKUP(Table1[[#This Row],[sheet]],Prg!$A$7:$J$31,10,FALSE)="","",VLOOKUP(Table1[[#This Row],[sheet]],Prg!$A$7:$J$31,10,FALSE)*1)</f>
        <v>1</v>
      </c>
      <c r="AF384" t="str">
        <f>VLOOKUP(Table1[[#This Row],[sheet]],Prg!$A$7:$J$31,5,FALSE)</f>
        <v>BURKINA FASO</v>
      </c>
      <c r="AG384">
        <f>ROW()</f>
        <v>384</v>
      </c>
    </row>
    <row r="385" spans="24:33" hidden="1" x14ac:dyDescent="0.25">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42609.03</v>
      </c>
      <c r="AE385">
        <f>IF(VLOOKUP(Table1[[#This Row],[sheet]],Prg!$A$7:$J$31,10,FALSE)="","",VLOOKUP(Table1[[#This Row],[sheet]],Prg!$A$7:$J$31,10,FALSE)*1)</f>
        <v>1</v>
      </c>
      <c r="AF385" t="str">
        <f>VLOOKUP(Table1[[#This Row],[sheet]],Prg!$A$7:$J$31,5,FALSE)</f>
        <v>BURKINA FASO</v>
      </c>
      <c r="AG385">
        <f>ROW()</f>
        <v>385</v>
      </c>
    </row>
    <row r="386" spans="24:33" hidden="1" x14ac:dyDescent="0.25">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0</v>
      </c>
      <c r="AE386">
        <f>IF(VLOOKUP(Table1[[#This Row],[sheet]],Prg!$A$7:$J$31,10,FALSE)="","",VLOOKUP(Table1[[#This Row],[sheet]],Prg!$A$7:$J$31,10,FALSE)*1)</f>
        <v>1</v>
      </c>
      <c r="AF386" t="str">
        <f>VLOOKUP(Table1[[#This Row],[sheet]],Prg!$A$7:$J$31,5,FALSE)</f>
        <v>BURKINA FASO</v>
      </c>
      <c r="AG386">
        <f>ROW()</f>
        <v>386</v>
      </c>
    </row>
    <row r="387" spans="24:33" hidden="1" x14ac:dyDescent="0.25">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10594.73</v>
      </c>
      <c r="AE387">
        <f>IF(VLOOKUP(Table1[[#This Row],[sheet]],Prg!$A$7:$J$31,10,FALSE)="","",VLOOKUP(Table1[[#This Row],[sheet]],Prg!$A$7:$J$31,10,FALSE)*1)</f>
        <v>1</v>
      </c>
      <c r="AF387" t="str">
        <f>VLOOKUP(Table1[[#This Row],[sheet]],Prg!$A$7:$J$31,5,FALSE)</f>
        <v>BURKINA FASO</v>
      </c>
      <c r="AG387">
        <f>ROW()</f>
        <v>387</v>
      </c>
    </row>
    <row r="388" spans="24:33" hidden="1" x14ac:dyDescent="0.25">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32014.3</v>
      </c>
      <c r="AE388">
        <f>IF(VLOOKUP(Table1[[#This Row],[sheet]],Prg!$A$7:$J$31,10,FALSE)="","",VLOOKUP(Table1[[#This Row],[sheet]],Prg!$A$7:$J$31,10,FALSE)*1)</f>
        <v>1</v>
      </c>
      <c r="AF388" t="str">
        <f>VLOOKUP(Table1[[#This Row],[sheet]],Prg!$A$7:$J$31,5,FALSE)</f>
        <v>BURKINA FASO</v>
      </c>
      <c r="AG388">
        <f>ROW()</f>
        <v>388</v>
      </c>
    </row>
    <row r="389" spans="24:33" hidden="1" x14ac:dyDescent="0.25">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615121.66</v>
      </c>
      <c r="AE389">
        <f>IF(VLOOKUP(Table1[[#This Row],[sheet]],Prg!$A$7:$J$31,10,FALSE)="","",VLOOKUP(Table1[[#This Row],[sheet]],Prg!$A$7:$J$31,10,FALSE)*1)</f>
        <v>1</v>
      </c>
      <c r="AF389" t="str">
        <f>VLOOKUP(Table1[[#This Row],[sheet]],Prg!$A$7:$J$31,5,FALSE)</f>
        <v>BURKINA FASO</v>
      </c>
      <c r="AG389">
        <f>ROW()</f>
        <v>389</v>
      </c>
    </row>
    <row r="390" spans="24:33" hidden="1" x14ac:dyDescent="0.25">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4000</v>
      </c>
      <c r="AE390">
        <f>IF(VLOOKUP(Table1[[#This Row],[sheet]],Prg!$A$7:$J$31,10,FALSE)="","",VLOOKUP(Table1[[#This Row],[sheet]],Prg!$A$7:$J$31,10,FALSE)*1)</f>
        <v>1</v>
      </c>
      <c r="AF390" t="str">
        <f>VLOOKUP(Table1[[#This Row],[sheet]],Prg!$A$7:$J$31,5,FALSE)</f>
        <v>BURKINA FASO</v>
      </c>
      <c r="AG390">
        <f>ROW()</f>
        <v>390</v>
      </c>
    </row>
    <row r="391" spans="24:33" hidden="1" x14ac:dyDescent="0.25">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61078.53</v>
      </c>
      <c r="AE391">
        <f>IF(VLOOKUP(Table1[[#This Row],[sheet]],Prg!$A$7:$J$31,10,FALSE)="","",VLOOKUP(Table1[[#This Row],[sheet]],Prg!$A$7:$J$31,10,FALSE)*1)</f>
        <v>1</v>
      </c>
      <c r="AF391" t="str">
        <f>VLOOKUP(Table1[[#This Row],[sheet]],Prg!$A$7:$J$31,5,FALSE)</f>
        <v>BURKINA FASO</v>
      </c>
      <c r="AG391">
        <f>ROW()</f>
        <v>391</v>
      </c>
    </row>
    <row r="392" spans="24:33" hidden="1" x14ac:dyDescent="0.25">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550043.13</v>
      </c>
      <c r="AE392">
        <f>IF(VLOOKUP(Table1[[#This Row],[sheet]],Prg!$A$7:$J$31,10,FALSE)="","",VLOOKUP(Table1[[#This Row],[sheet]],Prg!$A$7:$J$31,10,FALSE)*1)</f>
        <v>1</v>
      </c>
      <c r="AF392" t="str">
        <f>VLOOKUP(Table1[[#This Row],[sheet]],Prg!$A$7:$J$31,5,FALSE)</f>
        <v>BURKINA FASO</v>
      </c>
      <c r="AG392">
        <f>ROW()</f>
        <v>392</v>
      </c>
    </row>
    <row r="393" spans="24:33" hidden="1" x14ac:dyDescent="0.25">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203211.31</v>
      </c>
      <c r="AE393">
        <f>IF(VLOOKUP(Table1[[#This Row],[sheet]],Prg!$A$7:$J$31,10,FALSE)="","",VLOOKUP(Table1[[#This Row],[sheet]],Prg!$A$7:$J$31,10,FALSE)*1)</f>
        <v>1</v>
      </c>
      <c r="AF393" t="str">
        <f>VLOOKUP(Table1[[#This Row],[sheet]],Prg!$A$7:$J$31,5,FALSE)</f>
        <v>BURKINA FASO</v>
      </c>
      <c r="AG393">
        <f>ROW()</f>
        <v>393</v>
      </c>
    </row>
    <row r="394" spans="24:33" hidden="1" x14ac:dyDescent="0.25">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0</v>
      </c>
      <c r="AE394">
        <f>IF(VLOOKUP(Table1[[#This Row],[sheet]],Prg!$A$7:$J$31,10,FALSE)="","",VLOOKUP(Table1[[#This Row],[sheet]],Prg!$A$7:$J$31,10,FALSE)*1)</f>
        <v>1</v>
      </c>
      <c r="AF394" t="str">
        <f>VLOOKUP(Table1[[#This Row],[sheet]],Prg!$A$7:$J$31,5,FALSE)</f>
        <v>BURKINA FASO</v>
      </c>
      <c r="AG394">
        <f>ROW()</f>
        <v>394</v>
      </c>
    </row>
    <row r="395" spans="24:33" hidden="1" x14ac:dyDescent="0.25">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BURKINA FASO</v>
      </c>
      <c r="AG395">
        <f>ROW()</f>
        <v>395</v>
      </c>
    </row>
    <row r="396" spans="24:33" hidden="1" x14ac:dyDescent="0.25">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203211.31</v>
      </c>
      <c r="AE396">
        <f>IF(VLOOKUP(Table1[[#This Row],[sheet]],Prg!$A$7:$J$31,10,FALSE)="","",VLOOKUP(Table1[[#This Row],[sheet]],Prg!$A$7:$J$31,10,FALSE)*1)</f>
        <v>1</v>
      </c>
      <c r="AF396" t="str">
        <f>VLOOKUP(Table1[[#This Row],[sheet]],Prg!$A$7:$J$31,5,FALSE)</f>
        <v>BURKINA FASO</v>
      </c>
      <c r="AG396">
        <f>ROW()</f>
        <v>396</v>
      </c>
    </row>
    <row r="397" spans="24:33" hidden="1" x14ac:dyDescent="0.25">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BURKINA FASO</v>
      </c>
      <c r="AG397">
        <f>ROW()</f>
        <v>397</v>
      </c>
    </row>
    <row r="398" spans="24:33" hidden="1" x14ac:dyDescent="0.25">
      <c r="X398">
        <v>3</v>
      </c>
      <c r="Y398" s="53" t="s">
        <v>753</v>
      </c>
      <c r="Z398" s="53" t="s">
        <v>162</v>
      </c>
      <c r="AA398" s="53" t="str">
        <f>IF(OR(VLOOKUP(Table1[[#This Row],[sheet]],Prg!$A$7:$F$31,6,FALSE)=Prg!$O$2,VLOOKUP(Table1[[#This Row],[sheet]],Prg!$A$7:$F$31,6,FALSE)=Prg!$O$3),"Yes","No")</f>
        <v>Yes</v>
      </c>
      <c r="AB398" s="53">
        <v>2023</v>
      </c>
      <c r="AC398">
        <v>16</v>
      </c>
      <c r="AD398">
        <f ca="1">IF(ISERROR(VLOOKUP(Table1[[#This Row],[item]],INDIRECT("'"&amp;Table1[[#This Row],[sheet]]&amp;"'!$A$8:$T$42"),Table1[[#This Row],[r]],FALSE)),"",VLOOKUP(Table1[[#This Row],[item]],INDIRECT("'"&amp;Table1[[#This Row],[sheet]]&amp;"'!$A$8:$T$42"),Table1[[#This Row],[r]],FALSE))</f>
        <v>640223.67000000004</v>
      </c>
      <c r="AE398">
        <f>IF(VLOOKUP(Table1[[#This Row],[sheet]],Prg!$A$7:$J$31,10,FALSE)="","",VLOOKUP(Table1[[#This Row],[sheet]],Prg!$A$7:$J$31,10,FALSE)*1)</f>
        <v>1</v>
      </c>
      <c r="AF398" t="str">
        <f>VLOOKUP(Table1[[#This Row],[sheet]],Prg!$A$7:$J$31,5,FALSE)</f>
        <v>BURKINA FASO</v>
      </c>
      <c r="AG398">
        <f>ROW()</f>
        <v>398</v>
      </c>
    </row>
    <row r="399" spans="24:33" hidden="1" x14ac:dyDescent="0.25">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41044.04</v>
      </c>
      <c r="AE399">
        <f>IF(VLOOKUP(Table1[[#This Row],[sheet]],Prg!$A$7:$J$31,10,FALSE)="","",VLOOKUP(Table1[[#This Row],[sheet]],Prg!$A$7:$J$31,10,FALSE)*1)</f>
        <v>1</v>
      </c>
      <c r="AF399" t="str">
        <f>VLOOKUP(Table1[[#This Row],[sheet]],Prg!$A$7:$J$31,5,FALSE)</f>
        <v>BURKINA FASO</v>
      </c>
      <c r="AG399">
        <f>ROW()</f>
        <v>399</v>
      </c>
    </row>
    <row r="400" spans="24:33" hidden="1" x14ac:dyDescent="0.25">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486153.08</v>
      </c>
      <c r="AE400">
        <f>IF(VLOOKUP(Table1[[#This Row],[sheet]],Prg!$A$7:$J$31,10,FALSE)="","",VLOOKUP(Table1[[#This Row],[sheet]],Prg!$A$7:$J$31,10,FALSE)*1)</f>
        <v>1</v>
      </c>
      <c r="AF400" t="str">
        <f>VLOOKUP(Table1[[#This Row],[sheet]],Prg!$A$7:$J$31,5,FALSE)</f>
        <v>BURKINA FASO</v>
      </c>
      <c r="AG400">
        <f>ROW()</f>
        <v>400</v>
      </c>
    </row>
    <row r="401" spans="24:33" hidden="1" x14ac:dyDescent="0.25">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113026.55</v>
      </c>
      <c r="AE401">
        <f>IF(VLOOKUP(Table1[[#This Row],[sheet]],Prg!$A$7:$J$31,10,FALSE)="","",VLOOKUP(Table1[[#This Row],[sheet]],Prg!$A$7:$J$31,10,FALSE)*1)</f>
        <v>1</v>
      </c>
      <c r="AF401" t="str">
        <f>VLOOKUP(Table1[[#This Row],[sheet]],Prg!$A$7:$J$31,5,FALSE)</f>
        <v>BURKINA FASO</v>
      </c>
      <c r="AG401">
        <f>ROW()</f>
        <v>401</v>
      </c>
    </row>
    <row r="402" spans="24:33" hidden="1" x14ac:dyDescent="0.25">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17000</v>
      </c>
      <c r="AE402">
        <f>IF(VLOOKUP(Table1[[#This Row],[sheet]],Prg!$A$7:$J$31,10,FALSE)="","",VLOOKUP(Table1[[#This Row],[sheet]],Prg!$A$7:$J$31,10,FALSE)*1)</f>
        <v>1</v>
      </c>
      <c r="AF402" t="str">
        <f>VLOOKUP(Table1[[#This Row],[sheet]],Prg!$A$7:$J$31,5,FALSE)</f>
        <v>BURKINA FASO</v>
      </c>
      <c r="AG402">
        <f>ROW()</f>
        <v>402</v>
      </c>
    </row>
    <row r="403" spans="24:33" hidden="1" x14ac:dyDescent="0.25">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BURKINA FASO</v>
      </c>
      <c r="AG403">
        <f>ROW()</f>
        <v>403</v>
      </c>
    </row>
    <row r="404" spans="24:33" hidden="1" x14ac:dyDescent="0.25">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17000</v>
      </c>
      <c r="AE404">
        <f>IF(VLOOKUP(Table1[[#This Row],[sheet]],Prg!$A$7:$J$31,10,FALSE)="","",VLOOKUP(Table1[[#This Row],[sheet]],Prg!$A$7:$J$31,10,FALSE)*1)</f>
        <v>1</v>
      </c>
      <c r="AF404" t="str">
        <f>VLOOKUP(Table1[[#This Row],[sheet]],Prg!$A$7:$J$31,5,FALSE)</f>
        <v>BURKINA FASO</v>
      </c>
      <c r="AG404">
        <f>ROW()</f>
        <v>404</v>
      </c>
    </row>
    <row r="405" spans="24:33" hidden="1" x14ac:dyDescent="0.25">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BURKINA FASO</v>
      </c>
      <c r="AG405">
        <f>ROW()</f>
        <v>405</v>
      </c>
    </row>
    <row r="406" spans="24:33" hidden="1" x14ac:dyDescent="0.25">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166566.78999999998</v>
      </c>
      <c r="AE406">
        <f>IF(VLOOKUP(Table1[[#This Row],[sheet]],Prg!$A$7:$J$31,10,FALSE)="","",VLOOKUP(Table1[[#This Row],[sheet]],Prg!$A$7:$J$31,10,FALSE)*1)</f>
        <v>1</v>
      </c>
      <c r="AF406" t="str">
        <f>VLOOKUP(Table1[[#This Row],[sheet]],Prg!$A$7:$J$31,5,FALSE)</f>
        <v>BURKINA FASO</v>
      </c>
      <c r="AG406">
        <f>ROW()</f>
        <v>406</v>
      </c>
    </row>
    <row r="407" spans="24:33" hidden="1" x14ac:dyDescent="0.25">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1524.49</v>
      </c>
      <c r="AE407">
        <f>IF(VLOOKUP(Table1[[#This Row],[sheet]],Prg!$A$7:$J$31,10,FALSE)="","",VLOOKUP(Table1[[#This Row],[sheet]],Prg!$A$7:$J$31,10,FALSE)*1)</f>
        <v>1</v>
      </c>
      <c r="AF407" t="str">
        <f>VLOOKUP(Table1[[#This Row],[sheet]],Prg!$A$7:$J$31,5,FALSE)</f>
        <v>BURKINA FASO</v>
      </c>
      <c r="AG407">
        <f>ROW()</f>
        <v>407</v>
      </c>
    </row>
    <row r="408" spans="24:33" hidden="1" x14ac:dyDescent="0.25">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73339.149999999994</v>
      </c>
      <c r="AE408">
        <f>IF(VLOOKUP(Table1[[#This Row],[sheet]],Prg!$A$7:$J$31,10,FALSE)="","",VLOOKUP(Table1[[#This Row],[sheet]],Prg!$A$7:$J$31,10,FALSE)*1)</f>
        <v>1</v>
      </c>
      <c r="AF408" t="str">
        <f>VLOOKUP(Table1[[#This Row],[sheet]],Prg!$A$7:$J$31,5,FALSE)</f>
        <v>BURKINA FASO</v>
      </c>
      <c r="AG408">
        <f>ROW()</f>
        <v>408</v>
      </c>
    </row>
    <row r="409" spans="24:33" hidden="1" x14ac:dyDescent="0.25">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91703.15</v>
      </c>
      <c r="AE409">
        <f>IF(VLOOKUP(Table1[[#This Row],[sheet]],Prg!$A$7:$J$31,10,FALSE)="","",VLOOKUP(Table1[[#This Row],[sheet]],Prg!$A$7:$J$31,10,FALSE)*1)</f>
        <v>1</v>
      </c>
      <c r="AF409" t="str">
        <f>VLOOKUP(Table1[[#This Row],[sheet]],Prg!$A$7:$J$31,5,FALSE)</f>
        <v>BURKINA FASO</v>
      </c>
      <c r="AG409">
        <f>ROW()</f>
        <v>409</v>
      </c>
    </row>
    <row r="410" spans="24:33" hidden="1" x14ac:dyDescent="0.25">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4000</v>
      </c>
      <c r="AE410">
        <f>IF(VLOOKUP(Table1[[#This Row],[sheet]],Prg!$A$7:$J$31,10,FALSE)="","",VLOOKUP(Table1[[#This Row],[sheet]],Prg!$A$7:$J$31,10,FALSE)*1)</f>
        <v>1</v>
      </c>
      <c r="AF410" t="str">
        <f>VLOOKUP(Table1[[#This Row],[sheet]],Prg!$A$7:$J$31,5,FALSE)</f>
        <v>BURKINA FASO</v>
      </c>
      <c r="AG410">
        <f>ROW()</f>
        <v>410</v>
      </c>
    </row>
    <row r="411" spans="24:33" hidden="1" x14ac:dyDescent="0.25">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BURKINA FASO</v>
      </c>
      <c r="AG411">
        <f>ROW()</f>
        <v>411</v>
      </c>
    </row>
    <row r="412" spans="24:33" hidden="1" x14ac:dyDescent="0.25">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4000</v>
      </c>
      <c r="AE412">
        <f>IF(VLOOKUP(Table1[[#This Row],[sheet]],Prg!$A$7:$J$31,10,FALSE)="","",VLOOKUP(Table1[[#This Row],[sheet]],Prg!$A$7:$J$31,10,FALSE)*1)</f>
        <v>1</v>
      </c>
      <c r="AF412" t="str">
        <f>VLOOKUP(Table1[[#This Row],[sheet]],Prg!$A$7:$J$31,5,FALSE)</f>
        <v>BURKINA FASO</v>
      </c>
      <c r="AG412">
        <f>ROW()</f>
        <v>412</v>
      </c>
    </row>
    <row r="413" spans="24:33" hidden="1" x14ac:dyDescent="0.25">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0</v>
      </c>
      <c r="AE413">
        <f>IF(VLOOKUP(Table1[[#This Row],[sheet]],Prg!$A$7:$J$31,10,FALSE)="","",VLOOKUP(Table1[[#This Row],[sheet]],Prg!$A$7:$J$31,10,FALSE)*1)</f>
        <v>1</v>
      </c>
      <c r="AF413" t="str">
        <f>VLOOKUP(Table1[[#This Row],[sheet]],Prg!$A$7:$J$31,5,FALSE)</f>
        <v>BURKINA FASO</v>
      </c>
      <c r="AG413">
        <f>ROW()</f>
        <v>413</v>
      </c>
    </row>
    <row r="414" spans="24:33" hidden="1" x14ac:dyDescent="0.25">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827790.52</v>
      </c>
      <c r="AE414">
        <f>IF(VLOOKUP(Table1[[#This Row],[sheet]],Prg!$A$7:$J$31,10,FALSE)="","",VLOOKUP(Table1[[#This Row],[sheet]],Prg!$A$7:$J$31,10,FALSE)*1)</f>
        <v>1</v>
      </c>
      <c r="AF414" t="str">
        <f>VLOOKUP(Table1[[#This Row],[sheet]],Prg!$A$7:$J$31,5,FALSE)</f>
        <v>BURKINA FASO</v>
      </c>
      <c r="AG414">
        <f>ROW()</f>
        <v>414</v>
      </c>
    </row>
    <row r="415" spans="24:33" hidden="1" x14ac:dyDescent="0.25">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42568.939999999995</v>
      </c>
      <c r="AE415">
        <f>IF(VLOOKUP(Table1[[#This Row],[sheet]],Prg!$A$7:$J$31,10,FALSE)="","",VLOOKUP(Table1[[#This Row],[sheet]],Prg!$A$7:$J$31,10,FALSE)*1)</f>
        <v>1</v>
      </c>
      <c r="AF415" t="str">
        <f>VLOOKUP(Table1[[#This Row],[sheet]],Prg!$A$7:$J$31,5,FALSE)</f>
        <v>BURKINA FASO</v>
      </c>
      <c r="AG415">
        <f>ROW()</f>
        <v>415</v>
      </c>
    </row>
    <row r="416" spans="24:33" hidden="1" x14ac:dyDescent="0.25">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BURKINA FASO</v>
      </c>
      <c r="AG416">
        <f>ROW()</f>
        <v>416</v>
      </c>
    </row>
    <row r="417" spans="24:33" hidden="1" x14ac:dyDescent="0.25">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4554.3100000000004</v>
      </c>
      <c r="AE417">
        <f>IF(VLOOKUP(Table1[[#This Row],[sheet]],Prg!$A$7:$J$31,10,FALSE)="","",VLOOKUP(Table1[[#This Row],[sheet]],Prg!$A$7:$J$31,10,FALSE)*1)</f>
        <v>1</v>
      </c>
      <c r="AF417" t="str">
        <f>VLOOKUP(Table1[[#This Row],[sheet]],Prg!$A$7:$J$31,5,FALSE)</f>
        <v>BURKINA FASO</v>
      </c>
      <c r="AG417">
        <f>ROW()</f>
        <v>417</v>
      </c>
    </row>
    <row r="418" spans="24:33" hidden="1" x14ac:dyDescent="0.25">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38014.629999999997</v>
      </c>
      <c r="AE418">
        <f>IF(VLOOKUP(Table1[[#This Row],[sheet]],Prg!$A$7:$J$31,10,FALSE)="","",VLOOKUP(Table1[[#This Row],[sheet]],Prg!$A$7:$J$31,10,FALSE)*1)</f>
        <v>1</v>
      </c>
      <c r="AF418" t="str">
        <f>VLOOKUP(Table1[[#This Row],[sheet]],Prg!$A$7:$J$31,5,FALSE)</f>
        <v>BURKINA FASO</v>
      </c>
      <c r="AG418">
        <f>ROW()</f>
        <v>418</v>
      </c>
    </row>
    <row r="419" spans="24:33" hidden="1" x14ac:dyDescent="0.25">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580491.88</v>
      </c>
      <c r="AE419">
        <f>IF(VLOOKUP(Table1[[#This Row],[sheet]],Prg!$A$7:$J$31,10,FALSE)="","",VLOOKUP(Table1[[#This Row],[sheet]],Prg!$A$7:$J$31,10,FALSE)*1)</f>
        <v>1</v>
      </c>
      <c r="AF419" t="str">
        <f>VLOOKUP(Table1[[#This Row],[sheet]],Prg!$A$7:$J$31,5,FALSE)</f>
        <v>BURKINA FASO</v>
      </c>
      <c r="AG419">
        <f>ROW()</f>
        <v>419</v>
      </c>
    </row>
    <row r="420" spans="24:33" hidden="1" x14ac:dyDescent="0.25">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4000</v>
      </c>
      <c r="AE420">
        <f>IF(VLOOKUP(Table1[[#This Row],[sheet]],Prg!$A$7:$J$31,10,FALSE)="","",VLOOKUP(Table1[[#This Row],[sheet]],Prg!$A$7:$J$31,10,FALSE)*1)</f>
        <v>1</v>
      </c>
      <c r="AF420" t="str">
        <f>VLOOKUP(Table1[[#This Row],[sheet]],Prg!$A$7:$J$31,5,FALSE)</f>
        <v>BURKINA FASO</v>
      </c>
      <c r="AG420">
        <f>ROW()</f>
        <v>420</v>
      </c>
    </row>
    <row r="421" spans="24:33" hidden="1" x14ac:dyDescent="0.25">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62580.84</v>
      </c>
      <c r="AE421">
        <f>IF(VLOOKUP(Table1[[#This Row],[sheet]],Prg!$A$7:$J$31,10,FALSE)="","",VLOOKUP(Table1[[#This Row],[sheet]],Prg!$A$7:$J$31,10,FALSE)*1)</f>
        <v>1</v>
      </c>
      <c r="AF421" t="str">
        <f>VLOOKUP(Table1[[#This Row],[sheet]],Prg!$A$7:$J$31,5,FALSE)</f>
        <v>BURKINA FASO</v>
      </c>
      <c r="AG421">
        <f>ROW()</f>
        <v>421</v>
      </c>
    </row>
    <row r="422" spans="24:33" hidden="1" x14ac:dyDescent="0.25">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513911.03999999998</v>
      </c>
      <c r="AE422">
        <f>IF(VLOOKUP(Table1[[#This Row],[sheet]],Prg!$A$7:$J$31,10,FALSE)="","",VLOOKUP(Table1[[#This Row],[sheet]],Prg!$A$7:$J$31,10,FALSE)*1)</f>
        <v>1</v>
      </c>
      <c r="AF422" t="str">
        <f>VLOOKUP(Table1[[#This Row],[sheet]],Prg!$A$7:$J$31,5,FALSE)</f>
        <v>BURKINA FASO</v>
      </c>
      <c r="AG422">
        <f>ROW()</f>
        <v>422</v>
      </c>
    </row>
    <row r="423" spans="24:33" hidden="1" x14ac:dyDescent="0.25">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204729.7</v>
      </c>
      <c r="AE423">
        <f>IF(VLOOKUP(Table1[[#This Row],[sheet]],Prg!$A$7:$J$31,10,FALSE)="","",VLOOKUP(Table1[[#This Row],[sheet]],Prg!$A$7:$J$31,10,FALSE)*1)</f>
        <v>1</v>
      </c>
      <c r="AF423" t="str">
        <f>VLOOKUP(Table1[[#This Row],[sheet]],Prg!$A$7:$J$31,5,FALSE)</f>
        <v>BURKINA FASO</v>
      </c>
      <c r="AG423">
        <f>ROW()</f>
        <v>423</v>
      </c>
    </row>
    <row r="424" spans="24:33" hidden="1" x14ac:dyDescent="0.25">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0</v>
      </c>
      <c r="AE424">
        <f>IF(VLOOKUP(Table1[[#This Row],[sheet]],Prg!$A$7:$J$31,10,FALSE)="","",VLOOKUP(Table1[[#This Row],[sheet]],Prg!$A$7:$J$31,10,FALSE)*1)</f>
        <v>1</v>
      </c>
      <c r="AF424" t="str">
        <f>VLOOKUP(Table1[[#This Row],[sheet]],Prg!$A$7:$J$31,5,FALSE)</f>
        <v>BURKINA FASO</v>
      </c>
      <c r="AG424">
        <f>ROW()</f>
        <v>424</v>
      </c>
    </row>
    <row r="425" spans="24:33" hidden="1" x14ac:dyDescent="0.25">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BURKINA FASO</v>
      </c>
      <c r="AG425">
        <f>ROW()</f>
        <v>425</v>
      </c>
    </row>
    <row r="426" spans="24:33" hidden="1" x14ac:dyDescent="0.25">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204729.7</v>
      </c>
      <c r="AE426">
        <f>IF(VLOOKUP(Table1[[#This Row],[sheet]],Prg!$A$7:$J$31,10,FALSE)="","",VLOOKUP(Table1[[#This Row],[sheet]],Prg!$A$7:$J$31,10,FALSE)*1)</f>
        <v>1</v>
      </c>
      <c r="AF426" t="str">
        <f>VLOOKUP(Table1[[#This Row],[sheet]],Prg!$A$7:$J$31,5,FALSE)</f>
        <v>BURKINA FASO</v>
      </c>
      <c r="AG426">
        <f>ROW()</f>
        <v>426</v>
      </c>
    </row>
    <row r="427" spans="24:33" hidden="1" x14ac:dyDescent="0.25">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BURKINA FASO</v>
      </c>
      <c r="AG427">
        <f>ROW()</f>
        <v>427</v>
      </c>
    </row>
    <row r="428" spans="24:33" hidden="1" x14ac:dyDescent="0.25">
      <c r="X428">
        <v>3</v>
      </c>
      <c r="Y428" s="53" t="s">
        <v>753</v>
      </c>
      <c r="Z428" s="53" t="s">
        <v>162</v>
      </c>
      <c r="AA428" s="53" t="str">
        <f>IF(OR(VLOOKUP(Table1[[#This Row],[sheet]],Prg!$A$7:$F$31,6,FALSE)=Prg!$O$2,VLOOKUP(Table1[[#This Row],[sheet]],Prg!$A$7:$F$31,6,FALSE)=Prg!$O$3),"Yes","No")</f>
        <v>Yes</v>
      </c>
      <c r="AB428" s="53">
        <v>2024</v>
      </c>
      <c r="AC428">
        <v>17</v>
      </c>
      <c r="AD428">
        <f ca="1">IF(ISERROR(VLOOKUP(Table1[[#This Row],[item]],INDIRECT("'"&amp;Table1[[#This Row],[sheet]]&amp;"'!$A$8:$T$42"),Table1[[#This Row],[r]],FALSE)),"",VLOOKUP(Table1[[#This Row],[item]],INDIRECT("'"&amp;Table1[[#This Row],[sheet]]&amp;"'!$A$8:$T$42"),Table1[[#This Row],[r]],FALSE))</f>
        <v>639481.84000000008</v>
      </c>
      <c r="AE428">
        <f>IF(VLOOKUP(Table1[[#This Row],[sheet]],Prg!$A$7:$J$31,10,FALSE)="","",VLOOKUP(Table1[[#This Row],[sheet]],Prg!$A$7:$J$31,10,FALSE)*1)</f>
        <v>1</v>
      </c>
      <c r="AF428" t="str">
        <f>VLOOKUP(Table1[[#This Row],[sheet]],Prg!$A$7:$J$31,5,FALSE)</f>
        <v>BURKINA FASO</v>
      </c>
      <c r="AG428">
        <f>ROW()</f>
        <v>428</v>
      </c>
    </row>
    <row r="429" spans="24:33" hidden="1" x14ac:dyDescent="0.25">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8856.9699999999993</v>
      </c>
      <c r="AE429">
        <f>IF(VLOOKUP(Table1[[#This Row],[sheet]],Prg!$A$7:$J$31,10,FALSE)="","",VLOOKUP(Table1[[#This Row],[sheet]],Prg!$A$7:$J$31,10,FALSE)*1)</f>
        <v>1</v>
      </c>
      <c r="AF429" t="str">
        <f>VLOOKUP(Table1[[#This Row],[sheet]],Prg!$A$7:$J$31,5,FALSE)</f>
        <v>BURKINA FASO</v>
      </c>
      <c r="AG429">
        <f>ROW()</f>
        <v>429</v>
      </c>
    </row>
    <row r="430" spans="24:33" hidden="1" x14ac:dyDescent="0.25">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515774.32</v>
      </c>
      <c r="AE430">
        <f>IF(VLOOKUP(Table1[[#This Row],[sheet]],Prg!$A$7:$J$31,10,FALSE)="","",VLOOKUP(Table1[[#This Row],[sheet]],Prg!$A$7:$J$31,10,FALSE)*1)</f>
        <v>1</v>
      </c>
      <c r="AF430" t="str">
        <f>VLOOKUP(Table1[[#This Row],[sheet]],Prg!$A$7:$J$31,5,FALSE)</f>
        <v>BURKINA FASO</v>
      </c>
      <c r="AG430">
        <f>ROW()</f>
        <v>430</v>
      </c>
    </row>
    <row r="431" spans="24:33" hidden="1" x14ac:dyDescent="0.25">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114850.55</v>
      </c>
      <c r="AE431">
        <f>IF(VLOOKUP(Table1[[#This Row],[sheet]],Prg!$A$7:$J$31,10,FALSE)="","",VLOOKUP(Table1[[#This Row],[sheet]],Prg!$A$7:$J$31,10,FALSE)*1)</f>
        <v>1</v>
      </c>
      <c r="AF431" t="str">
        <f>VLOOKUP(Table1[[#This Row],[sheet]],Prg!$A$7:$J$31,5,FALSE)</f>
        <v>BURKINA FASO</v>
      </c>
      <c r="AG431">
        <f>ROW()</f>
        <v>431</v>
      </c>
    </row>
    <row r="432" spans="24:33" hidden="1" x14ac:dyDescent="0.25">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17000</v>
      </c>
      <c r="AE432">
        <f>IF(VLOOKUP(Table1[[#This Row],[sheet]],Prg!$A$7:$J$31,10,FALSE)="","",VLOOKUP(Table1[[#This Row],[sheet]],Prg!$A$7:$J$31,10,FALSE)*1)</f>
        <v>1</v>
      </c>
      <c r="AF432" t="str">
        <f>VLOOKUP(Table1[[#This Row],[sheet]],Prg!$A$7:$J$31,5,FALSE)</f>
        <v>BURKINA FASO</v>
      </c>
      <c r="AG432">
        <f>ROW()</f>
        <v>432</v>
      </c>
    </row>
    <row r="433" spans="24:33" hidden="1" x14ac:dyDescent="0.25">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BURKINA FASO</v>
      </c>
      <c r="AG433">
        <f>ROW()</f>
        <v>433</v>
      </c>
    </row>
    <row r="434" spans="24:33" hidden="1" x14ac:dyDescent="0.25">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17000</v>
      </c>
      <c r="AE434">
        <f>IF(VLOOKUP(Table1[[#This Row],[sheet]],Prg!$A$7:$J$31,10,FALSE)="","",VLOOKUP(Table1[[#This Row],[sheet]],Prg!$A$7:$J$31,10,FALSE)*1)</f>
        <v>1</v>
      </c>
      <c r="AF434" t="str">
        <f>VLOOKUP(Table1[[#This Row],[sheet]],Prg!$A$7:$J$31,5,FALSE)</f>
        <v>BURKINA FASO</v>
      </c>
      <c r="AG434">
        <f>ROW()</f>
        <v>434</v>
      </c>
    </row>
    <row r="435" spans="24:33" hidden="1" x14ac:dyDescent="0.25">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BURKINA FASO</v>
      </c>
      <c r="AG435">
        <f>ROW()</f>
        <v>435</v>
      </c>
    </row>
    <row r="436" spans="24:33" hidden="1" x14ac:dyDescent="0.25">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166567</v>
      </c>
      <c r="AE436">
        <f>IF(VLOOKUP(Table1[[#This Row],[sheet]],Prg!$A$7:$J$31,10,FALSE)="","",VLOOKUP(Table1[[#This Row],[sheet]],Prg!$A$7:$J$31,10,FALSE)*1)</f>
        <v>1</v>
      </c>
      <c r="AF436" t="str">
        <f>VLOOKUP(Table1[[#This Row],[sheet]],Prg!$A$7:$J$31,5,FALSE)</f>
        <v>BURKINA FASO</v>
      </c>
      <c r="AG436">
        <f>ROW()</f>
        <v>436</v>
      </c>
    </row>
    <row r="437" spans="24:33" hidden="1" x14ac:dyDescent="0.25">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1524.49</v>
      </c>
      <c r="AE437">
        <f>IF(VLOOKUP(Table1[[#This Row],[sheet]],Prg!$A$7:$J$31,10,FALSE)="","",VLOOKUP(Table1[[#This Row],[sheet]],Prg!$A$7:$J$31,10,FALSE)*1)</f>
        <v>1</v>
      </c>
      <c r="AF437" t="str">
        <f>VLOOKUP(Table1[[#This Row],[sheet]],Prg!$A$7:$J$31,5,FALSE)</f>
        <v>BURKINA FASO</v>
      </c>
      <c r="AG437">
        <f>ROW()</f>
        <v>437</v>
      </c>
    </row>
    <row r="438" spans="24:33" hidden="1" x14ac:dyDescent="0.25">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73339.360000000001</v>
      </c>
      <c r="AE438">
        <f>IF(VLOOKUP(Table1[[#This Row],[sheet]],Prg!$A$7:$J$31,10,FALSE)="","",VLOOKUP(Table1[[#This Row],[sheet]],Prg!$A$7:$J$31,10,FALSE)*1)</f>
        <v>1</v>
      </c>
      <c r="AF438" t="str">
        <f>VLOOKUP(Table1[[#This Row],[sheet]],Prg!$A$7:$J$31,5,FALSE)</f>
        <v>BURKINA FASO</v>
      </c>
      <c r="AG438">
        <f>ROW()</f>
        <v>438</v>
      </c>
    </row>
    <row r="439" spans="24:33" hidden="1" x14ac:dyDescent="0.25">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91703.15</v>
      </c>
      <c r="AE439">
        <f>IF(VLOOKUP(Table1[[#This Row],[sheet]],Prg!$A$7:$J$31,10,FALSE)="","",VLOOKUP(Table1[[#This Row],[sheet]],Prg!$A$7:$J$31,10,FALSE)*1)</f>
        <v>1</v>
      </c>
      <c r="AF439" t="str">
        <f>VLOOKUP(Table1[[#This Row],[sheet]],Prg!$A$7:$J$31,5,FALSE)</f>
        <v>BURKINA FASO</v>
      </c>
      <c r="AG439">
        <f>ROW()</f>
        <v>439</v>
      </c>
    </row>
    <row r="440" spans="24:33" hidden="1" x14ac:dyDescent="0.25">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4000</v>
      </c>
      <c r="AE440">
        <f>IF(VLOOKUP(Table1[[#This Row],[sheet]],Prg!$A$7:$J$31,10,FALSE)="","",VLOOKUP(Table1[[#This Row],[sheet]],Prg!$A$7:$J$31,10,FALSE)*1)</f>
        <v>1</v>
      </c>
      <c r="AF440" t="str">
        <f>VLOOKUP(Table1[[#This Row],[sheet]],Prg!$A$7:$J$31,5,FALSE)</f>
        <v>BURKINA FASO</v>
      </c>
      <c r="AG440">
        <f>ROW()</f>
        <v>440</v>
      </c>
    </row>
    <row r="441" spans="24:33" hidden="1" x14ac:dyDescent="0.25">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BURKINA FASO</v>
      </c>
      <c r="AG441">
        <f>ROW()</f>
        <v>441</v>
      </c>
    </row>
    <row r="442" spans="24:33" hidden="1" x14ac:dyDescent="0.25">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4000</v>
      </c>
      <c r="AE442">
        <f>IF(VLOOKUP(Table1[[#This Row],[sheet]],Prg!$A$7:$J$31,10,FALSE)="","",VLOOKUP(Table1[[#This Row],[sheet]],Prg!$A$7:$J$31,10,FALSE)*1)</f>
        <v>1</v>
      </c>
      <c r="AF442" t="str">
        <f>VLOOKUP(Table1[[#This Row],[sheet]],Prg!$A$7:$J$31,5,FALSE)</f>
        <v>BURKINA FASO</v>
      </c>
      <c r="AG442">
        <f>ROW()</f>
        <v>442</v>
      </c>
    </row>
    <row r="443" spans="24:33" hidden="1" x14ac:dyDescent="0.25">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0</v>
      </c>
      <c r="AE443">
        <f>IF(VLOOKUP(Table1[[#This Row],[sheet]],Prg!$A$7:$J$31,10,FALSE)="","",VLOOKUP(Table1[[#This Row],[sheet]],Prg!$A$7:$J$31,10,FALSE)*1)</f>
        <v>1</v>
      </c>
      <c r="AF443" t="str">
        <f>VLOOKUP(Table1[[#This Row],[sheet]],Prg!$A$7:$J$31,5,FALSE)</f>
        <v>BURKINA FASO</v>
      </c>
      <c r="AG443">
        <f>ROW()</f>
        <v>443</v>
      </c>
    </row>
    <row r="444" spans="24:33" hidden="1" x14ac:dyDescent="0.25">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827048.5</v>
      </c>
      <c r="AE444">
        <f>IF(VLOOKUP(Table1[[#This Row],[sheet]],Prg!$A$7:$J$31,10,FALSE)="","",VLOOKUP(Table1[[#This Row],[sheet]],Prg!$A$7:$J$31,10,FALSE)*1)</f>
        <v>1</v>
      </c>
      <c r="AF444" t="str">
        <f>VLOOKUP(Table1[[#This Row],[sheet]],Prg!$A$7:$J$31,5,FALSE)</f>
        <v>BURKINA FASO</v>
      </c>
      <c r="AG444">
        <f>ROW()</f>
        <v>444</v>
      </c>
    </row>
    <row r="445" spans="24:33" hidden="1" x14ac:dyDescent="0.25">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10381.459999999999</v>
      </c>
      <c r="AE445">
        <f>IF(VLOOKUP(Table1[[#This Row],[sheet]],Prg!$A$7:$J$31,10,FALSE)="","",VLOOKUP(Table1[[#This Row],[sheet]],Prg!$A$7:$J$31,10,FALSE)*1)</f>
        <v>1</v>
      </c>
      <c r="AF445" t="str">
        <f>VLOOKUP(Table1[[#This Row],[sheet]],Prg!$A$7:$J$31,5,FALSE)</f>
        <v>BURKINA FASO</v>
      </c>
      <c r="AG445">
        <f>ROW()</f>
        <v>445</v>
      </c>
    </row>
    <row r="446" spans="24:33" hidden="1" x14ac:dyDescent="0.25">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BURKINA FASO</v>
      </c>
      <c r="AG446">
        <f>ROW()</f>
        <v>446</v>
      </c>
    </row>
    <row r="447" spans="24:33" hidden="1" x14ac:dyDescent="0.25">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1524.49</v>
      </c>
      <c r="AE447">
        <f>IF(VLOOKUP(Table1[[#This Row],[sheet]],Prg!$A$7:$J$31,10,FALSE)="","",VLOOKUP(Table1[[#This Row],[sheet]],Prg!$A$7:$J$31,10,FALSE)*1)</f>
        <v>1</v>
      </c>
      <c r="AF447" t="str">
        <f>VLOOKUP(Table1[[#This Row],[sheet]],Prg!$A$7:$J$31,5,FALSE)</f>
        <v>BURKINA FASO</v>
      </c>
      <c r="AG447">
        <f>ROW()</f>
        <v>447</v>
      </c>
    </row>
    <row r="448" spans="24:33" hidden="1" x14ac:dyDescent="0.25">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8856.9699999999993</v>
      </c>
      <c r="AE448">
        <f>IF(VLOOKUP(Table1[[#This Row],[sheet]],Prg!$A$7:$J$31,10,FALSE)="","",VLOOKUP(Table1[[#This Row],[sheet]],Prg!$A$7:$J$31,10,FALSE)*1)</f>
        <v>1</v>
      </c>
      <c r="AF448" t="str">
        <f>VLOOKUP(Table1[[#This Row],[sheet]],Prg!$A$7:$J$31,5,FALSE)</f>
        <v>BURKINA FASO</v>
      </c>
      <c r="AG448">
        <f>ROW()</f>
        <v>448</v>
      </c>
    </row>
    <row r="449" spans="24:33" hidden="1" x14ac:dyDescent="0.25">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610113.34000000008</v>
      </c>
      <c r="AE449">
        <f>IF(VLOOKUP(Table1[[#This Row],[sheet]],Prg!$A$7:$J$31,10,FALSE)="","",VLOOKUP(Table1[[#This Row],[sheet]],Prg!$A$7:$J$31,10,FALSE)*1)</f>
        <v>1</v>
      </c>
      <c r="AF449" t="str">
        <f>VLOOKUP(Table1[[#This Row],[sheet]],Prg!$A$7:$J$31,5,FALSE)</f>
        <v>BURKINA FASO</v>
      </c>
      <c r="AG449">
        <f>ROW()</f>
        <v>449</v>
      </c>
    </row>
    <row r="450" spans="24:33" hidden="1" x14ac:dyDescent="0.25">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4000</v>
      </c>
      <c r="AE450">
        <f>IF(VLOOKUP(Table1[[#This Row],[sheet]],Prg!$A$7:$J$31,10,FALSE)="","",VLOOKUP(Table1[[#This Row],[sheet]],Prg!$A$7:$J$31,10,FALSE)*1)</f>
        <v>1</v>
      </c>
      <c r="AF450" t="str">
        <f>VLOOKUP(Table1[[#This Row],[sheet]],Prg!$A$7:$J$31,5,FALSE)</f>
        <v>BURKINA FASO</v>
      </c>
      <c r="AG450">
        <f>ROW()</f>
        <v>450</v>
      </c>
    </row>
    <row r="451" spans="24:33" hidden="1" x14ac:dyDescent="0.25">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68815.03</v>
      </c>
      <c r="AE451">
        <f>IF(VLOOKUP(Table1[[#This Row],[sheet]],Prg!$A$7:$J$31,10,FALSE)="","",VLOOKUP(Table1[[#This Row],[sheet]],Prg!$A$7:$J$31,10,FALSE)*1)</f>
        <v>1</v>
      </c>
      <c r="AF451" t="str">
        <f>VLOOKUP(Table1[[#This Row],[sheet]],Prg!$A$7:$J$31,5,FALSE)</f>
        <v>BURKINA FASO</v>
      </c>
      <c r="AG451">
        <f>ROW()</f>
        <v>451</v>
      </c>
    </row>
    <row r="452" spans="24:33" hidden="1" x14ac:dyDescent="0.25">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537298.31000000006</v>
      </c>
      <c r="AE452">
        <f>IF(VLOOKUP(Table1[[#This Row],[sheet]],Prg!$A$7:$J$31,10,FALSE)="","",VLOOKUP(Table1[[#This Row],[sheet]],Prg!$A$7:$J$31,10,FALSE)*1)</f>
        <v>1</v>
      </c>
      <c r="AF452" t="str">
        <f>VLOOKUP(Table1[[#This Row],[sheet]],Prg!$A$7:$J$31,5,FALSE)</f>
        <v>BURKINA FASO</v>
      </c>
      <c r="AG452">
        <f>ROW()</f>
        <v>452</v>
      </c>
    </row>
    <row r="453" spans="24:33" hidden="1" x14ac:dyDescent="0.25">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206553.7</v>
      </c>
      <c r="AE453">
        <f>IF(VLOOKUP(Table1[[#This Row],[sheet]],Prg!$A$7:$J$31,10,FALSE)="","",VLOOKUP(Table1[[#This Row],[sheet]],Prg!$A$7:$J$31,10,FALSE)*1)</f>
        <v>1</v>
      </c>
      <c r="AF453" t="str">
        <f>VLOOKUP(Table1[[#This Row],[sheet]],Prg!$A$7:$J$31,5,FALSE)</f>
        <v>BURKINA FASO</v>
      </c>
      <c r="AG453">
        <f>ROW()</f>
        <v>453</v>
      </c>
    </row>
    <row r="454" spans="24:33" hidden="1" x14ac:dyDescent="0.25">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0</v>
      </c>
      <c r="AE454">
        <f>IF(VLOOKUP(Table1[[#This Row],[sheet]],Prg!$A$7:$J$31,10,FALSE)="","",VLOOKUP(Table1[[#This Row],[sheet]],Prg!$A$7:$J$31,10,FALSE)*1)</f>
        <v>1</v>
      </c>
      <c r="AF454" t="str">
        <f>VLOOKUP(Table1[[#This Row],[sheet]],Prg!$A$7:$J$31,5,FALSE)</f>
        <v>BURKINA FASO</v>
      </c>
      <c r="AG454">
        <f>ROW()</f>
        <v>454</v>
      </c>
    </row>
    <row r="455" spans="24:33" hidden="1" x14ac:dyDescent="0.25">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BURKINA FASO</v>
      </c>
      <c r="AG455">
        <f>ROW()</f>
        <v>455</v>
      </c>
    </row>
    <row r="456" spans="24:33" hidden="1" x14ac:dyDescent="0.25">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206553.7</v>
      </c>
      <c r="AE456">
        <f>IF(VLOOKUP(Table1[[#This Row],[sheet]],Prg!$A$7:$J$31,10,FALSE)="","",VLOOKUP(Table1[[#This Row],[sheet]],Prg!$A$7:$J$31,10,FALSE)*1)</f>
        <v>1</v>
      </c>
      <c r="AF456" t="str">
        <f>VLOOKUP(Table1[[#This Row],[sheet]],Prg!$A$7:$J$31,5,FALSE)</f>
        <v>BURKINA FASO</v>
      </c>
      <c r="AG456">
        <f>ROW()</f>
        <v>456</v>
      </c>
    </row>
    <row r="457" spans="24:33" hidden="1" x14ac:dyDescent="0.25">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BURKINA FASO</v>
      </c>
      <c r="AG457">
        <f>ROW()</f>
        <v>457</v>
      </c>
    </row>
    <row r="458" spans="24:33" hidden="1" x14ac:dyDescent="0.25">
      <c r="X458">
        <v>3</v>
      </c>
      <c r="Y458" s="53" t="s">
        <v>753</v>
      </c>
      <c r="Z458" s="53" t="s">
        <v>162</v>
      </c>
      <c r="AA458" s="53" t="str">
        <f>IF(OR(VLOOKUP(Table1[[#This Row],[sheet]],Prg!$A$7:$F$31,6,FALSE)=Prg!$O$2,VLOOKUP(Table1[[#This Row],[sheet]],Prg!$A$7:$F$31,6,FALSE)=Prg!$O$3),"Yes","No")</f>
        <v>Yes</v>
      </c>
      <c r="AB458" s="53">
        <v>2025</v>
      </c>
      <c r="AC458">
        <v>18</v>
      </c>
      <c r="AD458">
        <f ca="1">IF(ISERROR(VLOOKUP(Table1[[#This Row],[item]],INDIRECT("'"&amp;Table1[[#This Row],[sheet]]&amp;"'!$A$8:$T$42"),Table1[[#This Row],[r]],FALSE)),"",VLOOKUP(Table1[[#This Row],[item]],INDIRECT("'"&amp;Table1[[#This Row],[sheet]]&amp;"'!$A$8:$T$42"),Table1[[#This Row],[r]],FALSE))</f>
        <v>404757.49999999994</v>
      </c>
      <c r="AE458">
        <f>IF(VLOOKUP(Table1[[#This Row],[sheet]],Prg!$A$7:$J$31,10,FALSE)="","",VLOOKUP(Table1[[#This Row],[sheet]],Prg!$A$7:$J$31,10,FALSE)*1)</f>
        <v>1</v>
      </c>
      <c r="AF458" t="str">
        <f>VLOOKUP(Table1[[#This Row],[sheet]],Prg!$A$7:$J$31,5,FALSE)</f>
        <v>BURKINA FASO</v>
      </c>
      <c r="AG458">
        <f>ROW()</f>
        <v>458</v>
      </c>
    </row>
    <row r="459" spans="24:33" hidden="1" x14ac:dyDescent="0.25">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4573.47</v>
      </c>
      <c r="AE459">
        <f>IF(VLOOKUP(Table1[[#This Row],[sheet]],Prg!$A$7:$J$31,10,FALSE)="","",VLOOKUP(Table1[[#This Row],[sheet]],Prg!$A$7:$J$31,10,FALSE)*1)</f>
        <v>1</v>
      </c>
      <c r="AF459" t="str">
        <f>VLOOKUP(Table1[[#This Row],[sheet]],Prg!$A$7:$J$31,5,FALSE)</f>
        <v>BURKINA FASO</v>
      </c>
      <c r="AG459">
        <f>ROW()</f>
        <v>459</v>
      </c>
    </row>
    <row r="460" spans="24:33" hidden="1" x14ac:dyDescent="0.25">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285333.48</v>
      </c>
      <c r="AE460">
        <f>IF(VLOOKUP(Table1[[#This Row],[sheet]],Prg!$A$7:$J$31,10,FALSE)="","",VLOOKUP(Table1[[#This Row],[sheet]],Prg!$A$7:$J$31,10,FALSE)*1)</f>
        <v>1</v>
      </c>
      <c r="AF460" t="str">
        <f>VLOOKUP(Table1[[#This Row],[sheet]],Prg!$A$7:$J$31,5,FALSE)</f>
        <v>BURKINA FASO</v>
      </c>
      <c r="AG460">
        <f>ROW()</f>
        <v>460</v>
      </c>
    </row>
    <row r="461" spans="24:33" hidden="1" x14ac:dyDescent="0.25">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114850.55</v>
      </c>
      <c r="AE461">
        <f>IF(VLOOKUP(Table1[[#This Row],[sheet]],Prg!$A$7:$J$31,10,FALSE)="","",VLOOKUP(Table1[[#This Row],[sheet]],Prg!$A$7:$J$31,10,FALSE)*1)</f>
        <v>1</v>
      </c>
      <c r="AF461" t="str">
        <f>VLOOKUP(Table1[[#This Row],[sheet]],Prg!$A$7:$J$31,5,FALSE)</f>
        <v>BURKINA FASO</v>
      </c>
      <c r="AG461">
        <f>ROW()</f>
        <v>461</v>
      </c>
    </row>
    <row r="462" spans="24:33" hidden="1" x14ac:dyDescent="0.25">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17000</v>
      </c>
      <c r="AE462">
        <f>IF(VLOOKUP(Table1[[#This Row],[sheet]],Prg!$A$7:$J$31,10,FALSE)="","",VLOOKUP(Table1[[#This Row],[sheet]],Prg!$A$7:$J$31,10,FALSE)*1)</f>
        <v>1</v>
      </c>
      <c r="AF462" t="str">
        <f>VLOOKUP(Table1[[#This Row],[sheet]],Prg!$A$7:$J$31,5,FALSE)</f>
        <v>BURKINA FASO</v>
      </c>
      <c r="AG462">
        <f>ROW()</f>
        <v>462</v>
      </c>
    </row>
    <row r="463" spans="24:33" hidden="1" x14ac:dyDescent="0.25">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BURKINA FASO</v>
      </c>
      <c r="AG463">
        <f>ROW()</f>
        <v>463</v>
      </c>
    </row>
    <row r="464" spans="24:33" hidden="1" x14ac:dyDescent="0.25">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17000</v>
      </c>
      <c r="AE464">
        <f>IF(VLOOKUP(Table1[[#This Row],[sheet]],Prg!$A$7:$J$31,10,FALSE)="","",VLOOKUP(Table1[[#This Row],[sheet]],Prg!$A$7:$J$31,10,FALSE)*1)</f>
        <v>1</v>
      </c>
      <c r="AF464" t="str">
        <f>VLOOKUP(Table1[[#This Row],[sheet]],Prg!$A$7:$J$31,5,FALSE)</f>
        <v>BURKINA FASO</v>
      </c>
      <c r="AG464">
        <f>ROW()</f>
        <v>464</v>
      </c>
    </row>
    <row r="465" spans="24:33" hidden="1" x14ac:dyDescent="0.25">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BURKINA FASO</v>
      </c>
      <c r="AG465">
        <f>ROW()</f>
        <v>465</v>
      </c>
    </row>
    <row r="466" spans="24:33" hidden="1" x14ac:dyDescent="0.25">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238000</v>
      </c>
      <c r="AE466">
        <f>IF(VLOOKUP(Table1[[#This Row],[sheet]],Prg!$A$7:$J$31,10,FALSE)="","",VLOOKUP(Table1[[#This Row],[sheet]],Prg!$A$7:$J$31,10,FALSE)*1)</f>
        <v>1</v>
      </c>
      <c r="AF466" t="str">
        <f>VLOOKUP(Table1[[#This Row],[sheet]],Prg!$A$7:$J$31,5,FALSE)</f>
        <v>BURKINA FASO</v>
      </c>
      <c r="AG466">
        <f>ROW()</f>
        <v>466</v>
      </c>
    </row>
    <row r="467" spans="24:33" hidden="1" x14ac:dyDescent="0.25">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1524.49</v>
      </c>
      <c r="AE467">
        <f>IF(VLOOKUP(Table1[[#This Row],[sheet]],Prg!$A$7:$J$31,10,FALSE)="","",VLOOKUP(Table1[[#This Row],[sheet]],Prg!$A$7:$J$31,10,FALSE)*1)</f>
        <v>1</v>
      </c>
      <c r="AF467" t="str">
        <f>VLOOKUP(Table1[[#This Row],[sheet]],Prg!$A$7:$J$31,5,FALSE)</f>
        <v>BURKINA FASO</v>
      </c>
      <c r="AG467">
        <f>ROW()</f>
        <v>467</v>
      </c>
    </row>
    <row r="468" spans="24:33" hidden="1" x14ac:dyDescent="0.25">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99265.14</v>
      </c>
      <c r="AE468">
        <f>IF(VLOOKUP(Table1[[#This Row],[sheet]],Prg!$A$7:$J$31,10,FALSE)="","",VLOOKUP(Table1[[#This Row],[sheet]],Prg!$A$7:$J$31,10,FALSE)*1)</f>
        <v>1</v>
      </c>
      <c r="AF468" t="str">
        <f>VLOOKUP(Table1[[#This Row],[sheet]],Prg!$A$7:$J$31,5,FALSE)</f>
        <v>BURKINA FASO</v>
      </c>
      <c r="AG468">
        <f>ROW()</f>
        <v>468</v>
      </c>
    </row>
    <row r="469" spans="24:33" hidden="1" x14ac:dyDescent="0.25">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137210.37</v>
      </c>
      <c r="AE469">
        <f>IF(VLOOKUP(Table1[[#This Row],[sheet]],Prg!$A$7:$J$31,10,FALSE)="","",VLOOKUP(Table1[[#This Row],[sheet]],Prg!$A$7:$J$31,10,FALSE)*1)</f>
        <v>1</v>
      </c>
      <c r="AF469" t="str">
        <f>VLOOKUP(Table1[[#This Row],[sheet]],Prg!$A$7:$J$31,5,FALSE)</f>
        <v>BURKINA FASO</v>
      </c>
      <c r="AG469">
        <f>ROW()</f>
        <v>469</v>
      </c>
    </row>
    <row r="470" spans="24:33" hidden="1" x14ac:dyDescent="0.25">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4000</v>
      </c>
      <c r="AE470">
        <f>IF(VLOOKUP(Table1[[#This Row],[sheet]],Prg!$A$7:$J$31,10,FALSE)="","",VLOOKUP(Table1[[#This Row],[sheet]],Prg!$A$7:$J$31,10,FALSE)*1)</f>
        <v>1</v>
      </c>
      <c r="AF470" t="str">
        <f>VLOOKUP(Table1[[#This Row],[sheet]],Prg!$A$7:$J$31,5,FALSE)</f>
        <v>BURKINA FASO</v>
      </c>
      <c r="AG470">
        <f>ROW()</f>
        <v>470</v>
      </c>
    </row>
    <row r="471" spans="24:33" hidden="1" x14ac:dyDescent="0.25">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BURKINA FASO</v>
      </c>
      <c r="AG471">
        <f>ROW()</f>
        <v>471</v>
      </c>
    </row>
    <row r="472" spans="24:33" hidden="1" x14ac:dyDescent="0.25">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4000</v>
      </c>
      <c r="AE472">
        <f>IF(VLOOKUP(Table1[[#This Row],[sheet]],Prg!$A$7:$J$31,10,FALSE)="","",VLOOKUP(Table1[[#This Row],[sheet]],Prg!$A$7:$J$31,10,FALSE)*1)</f>
        <v>1</v>
      </c>
      <c r="AF472" t="str">
        <f>VLOOKUP(Table1[[#This Row],[sheet]],Prg!$A$7:$J$31,5,FALSE)</f>
        <v>BURKINA FASO</v>
      </c>
      <c r="AG472">
        <f>ROW()</f>
        <v>472</v>
      </c>
    </row>
    <row r="473" spans="24:33" hidden="1" x14ac:dyDescent="0.25">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0</v>
      </c>
      <c r="AE473">
        <f>IF(VLOOKUP(Table1[[#This Row],[sheet]],Prg!$A$7:$J$31,10,FALSE)="","",VLOOKUP(Table1[[#This Row],[sheet]],Prg!$A$7:$J$31,10,FALSE)*1)</f>
        <v>1</v>
      </c>
      <c r="AF473" t="str">
        <f>VLOOKUP(Table1[[#This Row],[sheet]],Prg!$A$7:$J$31,5,FALSE)</f>
        <v>BURKINA FASO</v>
      </c>
      <c r="AG473">
        <f>ROW()</f>
        <v>473</v>
      </c>
    </row>
    <row r="474" spans="24:33" hidden="1" x14ac:dyDescent="0.25">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663757.49</v>
      </c>
      <c r="AE474">
        <f>IF(VLOOKUP(Table1[[#This Row],[sheet]],Prg!$A$7:$J$31,10,FALSE)="","",VLOOKUP(Table1[[#This Row],[sheet]],Prg!$A$7:$J$31,10,FALSE)*1)</f>
        <v>1</v>
      </c>
      <c r="AF474" t="str">
        <f>VLOOKUP(Table1[[#This Row],[sheet]],Prg!$A$7:$J$31,5,FALSE)</f>
        <v>BURKINA FASO</v>
      </c>
      <c r="AG474">
        <f>ROW()</f>
        <v>474</v>
      </c>
    </row>
    <row r="475" spans="24:33" hidden="1" x14ac:dyDescent="0.25">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6097.96</v>
      </c>
      <c r="AE475">
        <f>IF(VLOOKUP(Table1[[#This Row],[sheet]],Prg!$A$7:$J$31,10,FALSE)="","",VLOOKUP(Table1[[#This Row],[sheet]],Prg!$A$7:$J$31,10,FALSE)*1)</f>
        <v>1</v>
      </c>
      <c r="AF475" t="str">
        <f>VLOOKUP(Table1[[#This Row],[sheet]],Prg!$A$7:$J$31,5,FALSE)</f>
        <v>BURKINA FASO</v>
      </c>
      <c r="AG475">
        <f>ROW()</f>
        <v>475</v>
      </c>
    </row>
    <row r="476" spans="24:33" hidden="1" x14ac:dyDescent="0.25">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BURKINA FASO</v>
      </c>
      <c r="AG476">
        <f>ROW()</f>
        <v>476</v>
      </c>
    </row>
    <row r="477" spans="24:33" hidden="1" x14ac:dyDescent="0.25">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1524.49</v>
      </c>
      <c r="AE477">
        <f>IF(VLOOKUP(Table1[[#This Row],[sheet]],Prg!$A$7:$J$31,10,FALSE)="","",VLOOKUP(Table1[[#This Row],[sheet]],Prg!$A$7:$J$31,10,FALSE)*1)</f>
        <v>1</v>
      </c>
      <c r="AF477" t="str">
        <f>VLOOKUP(Table1[[#This Row],[sheet]],Prg!$A$7:$J$31,5,FALSE)</f>
        <v>BURKINA FASO</v>
      </c>
      <c r="AG477">
        <f>ROW()</f>
        <v>477</v>
      </c>
    </row>
    <row r="478" spans="24:33" hidden="1" x14ac:dyDescent="0.25">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4573.47</v>
      </c>
      <c r="AE478">
        <f>IF(VLOOKUP(Table1[[#This Row],[sheet]],Prg!$A$7:$J$31,10,FALSE)="","",VLOOKUP(Table1[[#This Row],[sheet]],Prg!$A$7:$J$31,10,FALSE)*1)</f>
        <v>1</v>
      </c>
      <c r="AF478" t="str">
        <f>VLOOKUP(Table1[[#This Row],[sheet]],Prg!$A$7:$J$31,5,FALSE)</f>
        <v>BURKINA FASO</v>
      </c>
      <c r="AG478">
        <f>ROW()</f>
        <v>478</v>
      </c>
    </row>
    <row r="479" spans="24:33" hidden="1" x14ac:dyDescent="0.25">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405598.61</v>
      </c>
      <c r="AE479">
        <f>IF(VLOOKUP(Table1[[#This Row],[sheet]],Prg!$A$7:$J$31,10,FALSE)="","",VLOOKUP(Table1[[#This Row],[sheet]],Prg!$A$7:$J$31,10,FALSE)*1)</f>
        <v>1</v>
      </c>
      <c r="AF479" t="str">
        <f>VLOOKUP(Table1[[#This Row],[sheet]],Prg!$A$7:$J$31,5,FALSE)</f>
        <v>BURKINA FASO</v>
      </c>
      <c r="AG479">
        <f>ROW()</f>
        <v>479</v>
      </c>
    </row>
    <row r="480" spans="24:33" hidden="1" x14ac:dyDescent="0.25">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4000</v>
      </c>
      <c r="AE480">
        <f>IF(VLOOKUP(Table1[[#This Row],[sheet]],Prg!$A$7:$J$31,10,FALSE)="","",VLOOKUP(Table1[[#This Row],[sheet]],Prg!$A$7:$J$31,10,FALSE)*1)</f>
        <v>1</v>
      </c>
      <c r="AF480" t="str">
        <f>VLOOKUP(Table1[[#This Row],[sheet]],Prg!$A$7:$J$31,5,FALSE)</f>
        <v>BURKINA FASO</v>
      </c>
      <c r="AG480">
        <f>ROW()</f>
        <v>480</v>
      </c>
    </row>
    <row r="481" spans="24:33" hidden="1" x14ac:dyDescent="0.25">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58018.879999999997</v>
      </c>
      <c r="AE481">
        <f>IF(VLOOKUP(Table1[[#This Row],[sheet]],Prg!$A$7:$J$31,10,FALSE)="","",VLOOKUP(Table1[[#This Row],[sheet]],Prg!$A$7:$J$31,10,FALSE)*1)</f>
        <v>1</v>
      </c>
      <c r="AF481" t="str">
        <f>VLOOKUP(Table1[[#This Row],[sheet]],Prg!$A$7:$J$31,5,FALSE)</f>
        <v>BURKINA FASO</v>
      </c>
      <c r="AG481">
        <f>ROW()</f>
        <v>481</v>
      </c>
    </row>
    <row r="482" spans="24:33" hidden="1" x14ac:dyDescent="0.25">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343579.73</v>
      </c>
      <c r="AE482">
        <f>IF(VLOOKUP(Table1[[#This Row],[sheet]],Prg!$A$7:$J$31,10,FALSE)="","",VLOOKUP(Table1[[#This Row],[sheet]],Prg!$A$7:$J$31,10,FALSE)*1)</f>
        <v>1</v>
      </c>
      <c r="AF482" t="str">
        <f>VLOOKUP(Table1[[#This Row],[sheet]],Prg!$A$7:$J$31,5,FALSE)</f>
        <v>BURKINA FASO</v>
      </c>
      <c r="AG482">
        <f>ROW()</f>
        <v>482</v>
      </c>
    </row>
    <row r="483" spans="24:33" hidden="1" x14ac:dyDescent="0.25">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252060.92</v>
      </c>
      <c r="AE483">
        <f>IF(VLOOKUP(Table1[[#This Row],[sheet]],Prg!$A$7:$J$31,10,FALSE)="","",VLOOKUP(Table1[[#This Row],[sheet]],Prg!$A$7:$J$31,10,FALSE)*1)</f>
        <v>1</v>
      </c>
      <c r="AF483" t="str">
        <f>VLOOKUP(Table1[[#This Row],[sheet]],Prg!$A$7:$J$31,5,FALSE)</f>
        <v>BURKINA FASO</v>
      </c>
      <c r="AG483">
        <f>ROW()</f>
        <v>483</v>
      </c>
    </row>
    <row r="484" spans="24:33" hidden="1" x14ac:dyDescent="0.25">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0</v>
      </c>
      <c r="AE484">
        <f>IF(VLOOKUP(Table1[[#This Row],[sheet]],Prg!$A$7:$J$31,10,FALSE)="","",VLOOKUP(Table1[[#This Row],[sheet]],Prg!$A$7:$J$31,10,FALSE)*1)</f>
        <v>1</v>
      </c>
      <c r="AF484" t="str">
        <f>VLOOKUP(Table1[[#This Row],[sheet]],Prg!$A$7:$J$31,5,FALSE)</f>
        <v>BURKINA FASO</v>
      </c>
      <c r="AG484">
        <f>ROW()</f>
        <v>484</v>
      </c>
    </row>
    <row r="485" spans="24:33" hidden="1" x14ac:dyDescent="0.25">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BURKINA FASO</v>
      </c>
      <c r="AG485">
        <f>ROW()</f>
        <v>485</v>
      </c>
    </row>
    <row r="486" spans="24:33" hidden="1" x14ac:dyDescent="0.25">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252060.92</v>
      </c>
      <c r="AE486">
        <f>IF(VLOOKUP(Table1[[#This Row],[sheet]],Prg!$A$7:$J$31,10,FALSE)="","",VLOOKUP(Table1[[#This Row],[sheet]],Prg!$A$7:$J$31,10,FALSE)*1)</f>
        <v>1</v>
      </c>
      <c r="AF486" t="str">
        <f>VLOOKUP(Table1[[#This Row],[sheet]],Prg!$A$7:$J$31,5,FALSE)</f>
        <v>BURKINA FASO</v>
      </c>
      <c r="AG486">
        <f>ROW()</f>
        <v>486</v>
      </c>
    </row>
    <row r="487" spans="24:33" hidden="1" x14ac:dyDescent="0.25">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BURKINA FASO</v>
      </c>
      <c r="AG487">
        <f>ROW()</f>
        <v>487</v>
      </c>
    </row>
    <row r="488" spans="24:33" hidden="1" x14ac:dyDescent="0.25">
      <c r="X488">
        <v>3</v>
      </c>
      <c r="Y488" s="53" t="s">
        <v>753</v>
      </c>
      <c r="Z488" s="53" t="s">
        <v>162</v>
      </c>
      <c r="AA488" s="53" t="str">
        <f>IF(OR(VLOOKUP(Table1[[#This Row],[sheet]],Prg!$A$7:$F$31,6,FALSE)=Prg!$O$2,VLOOKUP(Table1[[#This Row],[sheet]],Prg!$A$7:$F$31,6,FALSE)=Prg!$O$3),"Yes","No")</f>
        <v>Yes</v>
      </c>
      <c r="AB488" s="53">
        <v>2026</v>
      </c>
      <c r="AC488">
        <v>19</v>
      </c>
      <c r="AD488">
        <f ca="1">IF(ISERROR(VLOOKUP(Table1[[#This Row],[item]],INDIRECT("'"&amp;Table1[[#This Row],[sheet]]&amp;"'!$A$8:$T$42"),Table1[[#This Row],[r]],FALSE)),"",VLOOKUP(Table1[[#This Row],[item]],INDIRECT("'"&amp;Table1[[#This Row],[sheet]]&amp;"'!$A$8:$T$42"),Table1[[#This Row],[r]],FALSE))</f>
        <v>406040.19</v>
      </c>
      <c r="AE488">
        <f>IF(VLOOKUP(Table1[[#This Row],[sheet]],Prg!$A$7:$J$31,10,FALSE)="","",VLOOKUP(Table1[[#This Row],[sheet]],Prg!$A$7:$J$31,10,FALSE)*1)</f>
        <v>1</v>
      </c>
      <c r="AF488" t="str">
        <f>VLOOKUP(Table1[[#This Row],[sheet]],Prg!$A$7:$J$31,5,FALSE)</f>
        <v>BURKINA FASO</v>
      </c>
      <c r="AG488">
        <f>ROW()</f>
        <v>488</v>
      </c>
    </row>
    <row r="489" spans="24:33" hidden="1" x14ac:dyDescent="0.25">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1524.49</v>
      </c>
      <c r="AE489">
        <f>IF(VLOOKUP(Table1[[#This Row],[sheet]],Prg!$A$7:$J$31,10,FALSE)="","",VLOOKUP(Table1[[#This Row],[sheet]],Prg!$A$7:$J$31,10,FALSE)*1)</f>
        <v>1</v>
      </c>
      <c r="AF489" t="str">
        <f>VLOOKUP(Table1[[#This Row],[sheet]],Prg!$A$7:$J$31,5,FALSE)</f>
        <v>BURKINA FASO</v>
      </c>
      <c r="AG489">
        <f>ROW()</f>
        <v>489</v>
      </c>
    </row>
    <row r="490" spans="24:33" hidden="1" x14ac:dyDescent="0.25">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287841.15000000002</v>
      </c>
      <c r="AE490">
        <f>IF(VLOOKUP(Table1[[#This Row],[sheet]],Prg!$A$7:$J$31,10,FALSE)="","",VLOOKUP(Table1[[#This Row],[sheet]],Prg!$A$7:$J$31,10,FALSE)*1)</f>
        <v>1</v>
      </c>
      <c r="AF490" t="str">
        <f>VLOOKUP(Table1[[#This Row],[sheet]],Prg!$A$7:$J$31,5,FALSE)</f>
        <v>BURKINA FASO</v>
      </c>
      <c r="AG490">
        <f>ROW()</f>
        <v>490</v>
      </c>
    </row>
    <row r="491" spans="24:33" hidden="1" x14ac:dyDescent="0.25">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116674.55</v>
      </c>
      <c r="AE491">
        <f>IF(VLOOKUP(Table1[[#This Row],[sheet]],Prg!$A$7:$J$31,10,FALSE)="","",VLOOKUP(Table1[[#This Row],[sheet]],Prg!$A$7:$J$31,10,FALSE)*1)</f>
        <v>1</v>
      </c>
      <c r="AF491" t="str">
        <f>VLOOKUP(Table1[[#This Row],[sheet]],Prg!$A$7:$J$31,5,FALSE)</f>
        <v>BURKINA FASO</v>
      </c>
      <c r="AG491">
        <f>ROW()</f>
        <v>491</v>
      </c>
    </row>
    <row r="492" spans="24:33" hidden="1" x14ac:dyDescent="0.25">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17000</v>
      </c>
      <c r="AE492">
        <f>IF(VLOOKUP(Table1[[#This Row],[sheet]],Prg!$A$7:$J$31,10,FALSE)="","",VLOOKUP(Table1[[#This Row],[sheet]],Prg!$A$7:$J$31,10,FALSE)*1)</f>
        <v>1</v>
      </c>
      <c r="AF492" t="str">
        <f>VLOOKUP(Table1[[#This Row],[sheet]],Prg!$A$7:$J$31,5,FALSE)</f>
        <v>BURKINA FASO</v>
      </c>
      <c r="AG492">
        <f>ROW()</f>
        <v>492</v>
      </c>
    </row>
    <row r="493" spans="24:33" hidden="1" x14ac:dyDescent="0.25">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BURKINA FASO</v>
      </c>
      <c r="AG493">
        <f>ROW()</f>
        <v>493</v>
      </c>
    </row>
    <row r="494" spans="24:33" hidden="1" x14ac:dyDescent="0.25">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17000</v>
      </c>
      <c r="AE494">
        <f>IF(VLOOKUP(Table1[[#This Row],[sheet]],Prg!$A$7:$J$31,10,FALSE)="","",VLOOKUP(Table1[[#This Row],[sheet]],Prg!$A$7:$J$31,10,FALSE)*1)</f>
        <v>1</v>
      </c>
      <c r="AF494" t="str">
        <f>VLOOKUP(Table1[[#This Row],[sheet]],Prg!$A$7:$J$31,5,FALSE)</f>
        <v>BURKINA FASO</v>
      </c>
      <c r="AG494">
        <f>ROW()</f>
        <v>494</v>
      </c>
    </row>
    <row r="495" spans="24:33" hidden="1" x14ac:dyDescent="0.25">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BURKINA FASO</v>
      </c>
      <c r="AG495">
        <f>ROW()</f>
        <v>495</v>
      </c>
    </row>
    <row r="496" spans="24:33" hidden="1" x14ac:dyDescent="0.25">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278000.2</v>
      </c>
      <c r="AE496">
        <f>IF(VLOOKUP(Table1[[#This Row],[sheet]],Prg!$A$7:$J$31,10,FALSE)="","",VLOOKUP(Table1[[#This Row],[sheet]],Prg!$A$7:$J$31,10,FALSE)*1)</f>
        <v>1</v>
      </c>
      <c r="AF496" t="str">
        <f>VLOOKUP(Table1[[#This Row],[sheet]],Prg!$A$7:$J$31,5,FALSE)</f>
        <v>BURKINA FASO</v>
      </c>
      <c r="AG496">
        <f>ROW()</f>
        <v>496</v>
      </c>
    </row>
    <row r="497" spans="24:33" hidden="1" x14ac:dyDescent="0.25">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1524.49</v>
      </c>
      <c r="AE497">
        <f>IF(VLOOKUP(Table1[[#This Row],[sheet]],Prg!$A$7:$J$31,10,FALSE)="","",VLOOKUP(Table1[[#This Row],[sheet]],Prg!$A$7:$J$31,10,FALSE)*1)</f>
        <v>1</v>
      </c>
      <c r="AF497" t="str">
        <f>VLOOKUP(Table1[[#This Row],[sheet]],Prg!$A$7:$J$31,5,FALSE)</f>
        <v>BURKINA FASO</v>
      </c>
      <c r="AG497">
        <f>ROW()</f>
        <v>497</v>
      </c>
    </row>
    <row r="498" spans="24:33" hidden="1" x14ac:dyDescent="0.25">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116511.72</v>
      </c>
      <c r="AE498">
        <f>IF(VLOOKUP(Table1[[#This Row],[sheet]],Prg!$A$7:$J$31,10,FALSE)="","",VLOOKUP(Table1[[#This Row],[sheet]],Prg!$A$7:$J$31,10,FALSE)*1)</f>
        <v>1</v>
      </c>
      <c r="AF498" t="str">
        <f>VLOOKUP(Table1[[#This Row],[sheet]],Prg!$A$7:$J$31,5,FALSE)</f>
        <v>BURKINA FASO</v>
      </c>
      <c r="AG498">
        <f>ROW()</f>
        <v>498</v>
      </c>
    </row>
    <row r="499" spans="24:33" hidden="1" x14ac:dyDescent="0.25">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159963.99</v>
      </c>
      <c r="AE499">
        <f>IF(VLOOKUP(Table1[[#This Row],[sheet]],Prg!$A$7:$J$31,10,FALSE)="","",VLOOKUP(Table1[[#This Row],[sheet]],Prg!$A$7:$J$31,10,FALSE)*1)</f>
        <v>1</v>
      </c>
      <c r="AF499" t="str">
        <f>VLOOKUP(Table1[[#This Row],[sheet]],Prg!$A$7:$J$31,5,FALSE)</f>
        <v>BURKINA FASO</v>
      </c>
      <c r="AG499">
        <f>ROW()</f>
        <v>499</v>
      </c>
    </row>
    <row r="500" spans="24:33" hidden="1" x14ac:dyDescent="0.25">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4000</v>
      </c>
      <c r="AE500">
        <f>IF(VLOOKUP(Table1[[#This Row],[sheet]],Prg!$A$7:$J$31,10,FALSE)="","",VLOOKUP(Table1[[#This Row],[sheet]],Prg!$A$7:$J$31,10,FALSE)*1)</f>
        <v>1</v>
      </c>
      <c r="AF500" t="str">
        <f>VLOOKUP(Table1[[#This Row],[sheet]],Prg!$A$7:$J$31,5,FALSE)</f>
        <v>BURKINA FASO</v>
      </c>
      <c r="AG500">
        <f>ROW()</f>
        <v>500</v>
      </c>
    </row>
    <row r="501" spans="24:33" hidden="1" x14ac:dyDescent="0.25">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BURKINA FASO</v>
      </c>
      <c r="AG501">
        <f>ROW()</f>
        <v>501</v>
      </c>
    </row>
    <row r="502" spans="24:33" hidden="1" x14ac:dyDescent="0.25">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4000</v>
      </c>
      <c r="AE502">
        <f>IF(VLOOKUP(Table1[[#This Row],[sheet]],Prg!$A$7:$J$31,10,FALSE)="","",VLOOKUP(Table1[[#This Row],[sheet]],Prg!$A$7:$J$31,10,FALSE)*1)</f>
        <v>1</v>
      </c>
      <c r="AF502" t="str">
        <f>VLOOKUP(Table1[[#This Row],[sheet]],Prg!$A$7:$J$31,5,FALSE)</f>
        <v>BURKINA FASO</v>
      </c>
      <c r="AG502">
        <f>ROW()</f>
        <v>502</v>
      </c>
    </row>
    <row r="503" spans="24:33" hidden="1" x14ac:dyDescent="0.25">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0</v>
      </c>
      <c r="AE503">
        <f>IF(VLOOKUP(Table1[[#This Row],[sheet]],Prg!$A$7:$J$31,10,FALSE)="","",VLOOKUP(Table1[[#This Row],[sheet]],Prg!$A$7:$J$31,10,FALSE)*1)</f>
        <v>1</v>
      </c>
      <c r="AF503" t="str">
        <f>VLOOKUP(Table1[[#This Row],[sheet]],Prg!$A$7:$J$31,5,FALSE)</f>
        <v>BURKINA FASO</v>
      </c>
      <c r="AG503">
        <f>ROW()</f>
        <v>503</v>
      </c>
    </row>
    <row r="504" spans="24:33" hidden="1" x14ac:dyDescent="0.25">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705040.39999999991</v>
      </c>
      <c r="AE504">
        <f>IF(VLOOKUP(Table1[[#This Row],[sheet]],Prg!$A$7:$J$31,10,FALSE)="","",VLOOKUP(Table1[[#This Row],[sheet]],Prg!$A$7:$J$31,10,FALSE)*1)</f>
        <v>1</v>
      </c>
      <c r="AF504" t="str">
        <f>VLOOKUP(Table1[[#This Row],[sheet]],Prg!$A$7:$J$31,5,FALSE)</f>
        <v>BURKINA FASO</v>
      </c>
      <c r="AG504">
        <f>ROW()</f>
        <v>504</v>
      </c>
    </row>
    <row r="505" spans="24:33" hidden="1" x14ac:dyDescent="0.25">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3048.98</v>
      </c>
      <c r="AE505">
        <f>IF(VLOOKUP(Table1[[#This Row],[sheet]],Prg!$A$7:$J$31,10,FALSE)="","",VLOOKUP(Table1[[#This Row],[sheet]],Prg!$A$7:$J$31,10,FALSE)*1)</f>
        <v>1</v>
      </c>
      <c r="AF505" t="str">
        <f>VLOOKUP(Table1[[#This Row],[sheet]],Prg!$A$7:$J$31,5,FALSE)</f>
        <v>BURKINA FASO</v>
      </c>
      <c r="AG505">
        <f>ROW()</f>
        <v>505</v>
      </c>
    </row>
    <row r="506" spans="24:33" hidden="1" x14ac:dyDescent="0.25">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BURKINA FASO</v>
      </c>
      <c r="AG506">
        <f>ROW()</f>
        <v>506</v>
      </c>
    </row>
    <row r="507" spans="24:33" hidden="1" x14ac:dyDescent="0.25">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1524.49</v>
      </c>
      <c r="AE507">
        <f>IF(VLOOKUP(Table1[[#This Row],[sheet]],Prg!$A$7:$J$31,10,FALSE)="","",VLOOKUP(Table1[[#This Row],[sheet]],Prg!$A$7:$J$31,10,FALSE)*1)</f>
        <v>1</v>
      </c>
      <c r="AF507" t="str">
        <f>VLOOKUP(Table1[[#This Row],[sheet]],Prg!$A$7:$J$31,5,FALSE)</f>
        <v>BURKINA FASO</v>
      </c>
      <c r="AG507">
        <f>ROW()</f>
        <v>507</v>
      </c>
    </row>
    <row r="508" spans="24:33" hidden="1" x14ac:dyDescent="0.25">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1524.49</v>
      </c>
      <c r="AE508">
        <f>IF(VLOOKUP(Table1[[#This Row],[sheet]],Prg!$A$7:$J$31,10,FALSE)="","",VLOOKUP(Table1[[#This Row],[sheet]],Prg!$A$7:$J$31,10,FALSE)*1)</f>
        <v>1</v>
      </c>
      <c r="AF508" t="str">
        <f>VLOOKUP(Table1[[#This Row],[sheet]],Prg!$A$7:$J$31,5,FALSE)</f>
        <v>BURKINA FASO</v>
      </c>
      <c r="AG508">
        <f>ROW()</f>
        <v>508</v>
      </c>
    </row>
    <row r="509" spans="24:33" hidden="1" x14ac:dyDescent="0.25">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425352.88</v>
      </c>
      <c r="AE509">
        <f>IF(VLOOKUP(Table1[[#This Row],[sheet]],Prg!$A$7:$J$31,10,FALSE)="","",VLOOKUP(Table1[[#This Row],[sheet]],Prg!$A$7:$J$31,10,FALSE)*1)</f>
        <v>1</v>
      </c>
      <c r="AF509" t="str">
        <f>VLOOKUP(Table1[[#This Row],[sheet]],Prg!$A$7:$J$31,5,FALSE)</f>
        <v>BURKINA FASO</v>
      </c>
      <c r="AG509">
        <f>ROW()</f>
        <v>509</v>
      </c>
    </row>
    <row r="510" spans="24:33" hidden="1" x14ac:dyDescent="0.25">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20160.84</v>
      </c>
      <c r="AE510">
        <f>IF(VLOOKUP(Table1[[#This Row],[sheet]],Prg!$A$7:$J$31,10,FALSE)="","",VLOOKUP(Table1[[#This Row],[sheet]],Prg!$A$7:$J$31,10,FALSE)*1)</f>
        <v>1</v>
      </c>
      <c r="AF510" t="str">
        <f>VLOOKUP(Table1[[#This Row],[sheet]],Prg!$A$7:$J$31,5,FALSE)</f>
        <v>BURKINA FASO</v>
      </c>
      <c r="AG510">
        <f>ROW()</f>
        <v>510</v>
      </c>
    </row>
    <row r="511" spans="24:33" hidden="1" x14ac:dyDescent="0.25">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54977.75</v>
      </c>
      <c r="AE511">
        <f>IF(VLOOKUP(Table1[[#This Row],[sheet]],Prg!$A$7:$J$31,10,FALSE)="","",VLOOKUP(Table1[[#This Row],[sheet]],Prg!$A$7:$J$31,10,FALSE)*1)</f>
        <v>1</v>
      </c>
      <c r="AF511" t="str">
        <f>VLOOKUP(Table1[[#This Row],[sheet]],Prg!$A$7:$J$31,5,FALSE)</f>
        <v>BURKINA FASO</v>
      </c>
      <c r="AG511">
        <f>ROW()</f>
        <v>511</v>
      </c>
    </row>
    <row r="512" spans="24:33" hidden="1" x14ac:dyDescent="0.25">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350214.29</v>
      </c>
      <c r="AE512">
        <f>IF(VLOOKUP(Table1[[#This Row],[sheet]],Prg!$A$7:$J$31,10,FALSE)="","",VLOOKUP(Table1[[#This Row],[sheet]],Prg!$A$7:$J$31,10,FALSE)*1)</f>
        <v>1</v>
      </c>
      <c r="AF512" t="str">
        <f>VLOOKUP(Table1[[#This Row],[sheet]],Prg!$A$7:$J$31,5,FALSE)</f>
        <v>BURKINA FASO</v>
      </c>
      <c r="AG512">
        <f>ROW()</f>
        <v>512</v>
      </c>
    </row>
    <row r="513" spans="24:33" hidden="1" x14ac:dyDescent="0.25">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276638.53999999998</v>
      </c>
      <c r="AE513">
        <f>IF(VLOOKUP(Table1[[#This Row],[sheet]],Prg!$A$7:$J$31,10,FALSE)="","",VLOOKUP(Table1[[#This Row],[sheet]],Prg!$A$7:$J$31,10,FALSE)*1)</f>
        <v>1</v>
      </c>
      <c r="AF513" t="str">
        <f>VLOOKUP(Table1[[#This Row],[sheet]],Prg!$A$7:$J$31,5,FALSE)</f>
        <v>BURKINA FASO</v>
      </c>
      <c r="AG513">
        <f>ROW()</f>
        <v>513</v>
      </c>
    </row>
    <row r="514" spans="24:33" hidden="1" x14ac:dyDescent="0.25">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0</v>
      </c>
      <c r="AE514">
        <f>IF(VLOOKUP(Table1[[#This Row],[sheet]],Prg!$A$7:$J$31,10,FALSE)="","",VLOOKUP(Table1[[#This Row],[sheet]],Prg!$A$7:$J$31,10,FALSE)*1)</f>
        <v>1</v>
      </c>
      <c r="AF514" t="str">
        <f>VLOOKUP(Table1[[#This Row],[sheet]],Prg!$A$7:$J$31,5,FALSE)</f>
        <v>BURKINA FASO</v>
      </c>
      <c r="AG514">
        <f>ROW()</f>
        <v>514</v>
      </c>
    </row>
    <row r="515" spans="24:33" hidden="1" x14ac:dyDescent="0.25">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BURKINA FASO</v>
      </c>
      <c r="AG515">
        <f>ROW()</f>
        <v>515</v>
      </c>
    </row>
    <row r="516" spans="24:33" hidden="1" x14ac:dyDescent="0.25">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276638.53999999998</v>
      </c>
      <c r="AE516">
        <f>IF(VLOOKUP(Table1[[#This Row],[sheet]],Prg!$A$7:$J$31,10,FALSE)="","",VLOOKUP(Table1[[#This Row],[sheet]],Prg!$A$7:$J$31,10,FALSE)*1)</f>
        <v>1</v>
      </c>
      <c r="AF516" t="str">
        <f>VLOOKUP(Table1[[#This Row],[sheet]],Prg!$A$7:$J$31,5,FALSE)</f>
        <v>BURKINA FASO</v>
      </c>
      <c r="AG516">
        <f>ROW()</f>
        <v>516</v>
      </c>
    </row>
    <row r="517" spans="24:33" hidden="1" x14ac:dyDescent="0.25">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BURKINA FASO</v>
      </c>
      <c r="AG517">
        <f>ROW()</f>
        <v>517</v>
      </c>
    </row>
    <row r="518" spans="24:33" hidden="1" x14ac:dyDescent="0.25">
      <c r="X518">
        <v>3</v>
      </c>
      <c r="Y518" s="53" t="s">
        <v>753</v>
      </c>
      <c r="Z518" s="53" t="s">
        <v>162</v>
      </c>
      <c r="AA518" s="53" t="str">
        <f>IF(OR(VLOOKUP(Table1[[#This Row],[sheet]],Prg!$A$7:$F$31,6,FALSE)=Prg!$O$2,VLOOKUP(Table1[[#This Row],[sheet]],Prg!$A$7:$F$31,6,FALSE)=Prg!$O$3),"Yes","No")</f>
        <v>Yes</v>
      </c>
      <c r="AB518" s="53" t="s">
        <v>78</v>
      </c>
      <c r="AC518">
        <v>20</v>
      </c>
      <c r="AD518">
        <f ca="1">IF(ISERROR(VLOOKUP(Table1[[#This Row],[item]],INDIRECT("'"&amp;Table1[[#This Row],[sheet]]&amp;"'!$A$8:$T$42"),Table1[[#This Row],[r]],FALSE)),"",VLOOKUP(Table1[[#This Row],[item]],INDIRECT("'"&amp;Table1[[#This Row],[sheet]]&amp;"'!$A$8:$T$42"),Table1[[#This Row],[r]],FALSE))</f>
        <v>2772445.18</v>
      </c>
      <c r="AE518">
        <f>IF(VLOOKUP(Table1[[#This Row],[sheet]],Prg!$A$7:$J$31,10,FALSE)="","",VLOOKUP(Table1[[#This Row],[sheet]],Prg!$A$7:$J$31,10,FALSE)*1)</f>
        <v>1</v>
      </c>
      <c r="AF518" t="str">
        <f>VLOOKUP(Table1[[#This Row],[sheet]],Prg!$A$7:$J$31,5,FALSE)</f>
        <v>BURKINA FASO</v>
      </c>
      <c r="AG518">
        <f>ROW()</f>
        <v>518</v>
      </c>
    </row>
    <row r="519" spans="24:33" hidden="1" x14ac:dyDescent="0.25">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97083.500000000015</v>
      </c>
      <c r="AE519">
        <f>IF(VLOOKUP(Table1[[#This Row],[sheet]],Prg!$A$7:$J$31,10,FALSE)="","",VLOOKUP(Table1[[#This Row],[sheet]],Prg!$A$7:$J$31,10,FALSE)*1)</f>
        <v>1</v>
      </c>
      <c r="AF519" t="str">
        <f>VLOOKUP(Table1[[#This Row],[sheet]],Prg!$A$7:$J$31,5,FALSE)</f>
        <v>BURKINA FASO</v>
      </c>
      <c r="AG519">
        <f>ROW()</f>
        <v>519</v>
      </c>
    </row>
    <row r="520" spans="24:33" hidden="1" x14ac:dyDescent="0.25">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2104451.3200000003</v>
      </c>
      <c r="AE520">
        <f>IF(VLOOKUP(Table1[[#This Row],[sheet]],Prg!$A$7:$J$31,10,FALSE)="","",VLOOKUP(Table1[[#This Row],[sheet]],Prg!$A$7:$J$31,10,FALSE)*1)</f>
        <v>1</v>
      </c>
      <c r="AF520" t="str">
        <f>VLOOKUP(Table1[[#This Row],[sheet]],Prg!$A$7:$J$31,5,FALSE)</f>
        <v>BURKINA FASO</v>
      </c>
      <c r="AG520">
        <f>ROW()</f>
        <v>520</v>
      </c>
    </row>
    <row r="521" spans="24:33" hidden="1" x14ac:dyDescent="0.25">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570910.36</v>
      </c>
      <c r="AE521">
        <f>IF(VLOOKUP(Table1[[#This Row],[sheet]],Prg!$A$7:$J$31,10,FALSE)="","",VLOOKUP(Table1[[#This Row],[sheet]],Prg!$A$7:$J$31,10,FALSE)*1)</f>
        <v>1</v>
      </c>
      <c r="AF521" t="str">
        <f>VLOOKUP(Table1[[#This Row],[sheet]],Prg!$A$7:$J$31,5,FALSE)</f>
        <v>BURKINA FASO</v>
      </c>
      <c r="AG521">
        <f>ROW()</f>
        <v>521</v>
      </c>
    </row>
    <row r="522" spans="24:33" hidden="1" x14ac:dyDescent="0.25">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85000</v>
      </c>
      <c r="AE522">
        <f>IF(VLOOKUP(Table1[[#This Row],[sheet]],Prg!$A$7:$J$31,10,FALSE)="","",VLOOKUP(Table1[[#This Row],[sheet]],Prg!$A$7:$J$31,10,FALSE)*1)</f>
        <v>1</v>
      </c>
      <c r="AF522" t="str">
        <f>VLOOKUP(Table1[[#This Row],[sheet]],Prg!$A$7:$J$31,5,FALSE)</f>
        <v>BURKINA FASO</v>
      </c>
      <c r="AG522">
        <f>ROW()</f>
        <v>522</v>
      </c>
    </row>
    <row r="523" spans="24:33" hidden="1" x14ac:dyDescent="0.25">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BURKINA FASO</v>
      </c>
      <c r="AG523">
        <f>ROW()</f>
        <v>523</v>
      </c>
    </row>
    <row r="524" spans="24:33" hidden="1" x14ac:dyDescent="0.25">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85000</v>
      </c>
      <c r="AE524">
        <f>IF(VLOOKUP(Table1[[#This Row],[sheet]],Prg!$A$7:$J$31,10,FALSE)="","",VLOOKUP(Table1[[#This Row],[sheet]],Prg!$A$7:$J$31,10,FALSE)*1)</f>
        <v>1</v>
      </c>
      <c r="AF524" t="str">
        <f>VLOOKUP(Table1[[#This Row],[sheet]],Prg!$A$7:$J$31,5,FALSE)</f>
        <v>BURKINA FASO</v>
      </c>
      <c r="AG524">
        <f>ROW()</f>
        <v>524</v>
      </c>
    </row>
    <row r="525" spans="24:33" hidden="1" x14ac:dyDescent="0.25">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BURKINA FASO</v>
      </c>
      <c r="AG525">
        <f>ROW()</f>
        <v>525</v>
      </c>
    </row>
    <row r="526" spans="24:33" hidden="1" x14ac:dyDescent="0.25">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1007133.99</v>
      </c>
      <c r="AE526">
        <f>IF(VLOOKUP(Table1[[#This Row],[sheet]],Prg!$A$7:$J$31,10,FALSE)="","",VLOOKUP(Table1[[#This Row],[sheet]],Prg!$A$7:$J$31,10,FALSE)*1)</f>
        <v>1</v>
      </c>
      <c r="AF526" t="str">
        <f>VLOOKUP(Table1[[#This Row],[sheet]],Prg!$A$7:$J$31,5,FALSE)</f>
        <v>BURKINA FASO</v>
      </c>
      <c r="AG526">
        <f>ROW()</f>
        <v>526</v>
      </c>
    </row>
    <row r="527" spans="24:33" hidden="1" x14ac:dyDescent="0.25">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7622.45</v>
      </c>
      <c r="AE527">
        <f>IF(VLOOKUP(Table1[[#This Row],[sheet]],Prg!$A$7:$J$31,10,FALSE)="","",VLOOKUP(Table1[[#This Row],[sheet]],Prg!$A$7:$J$31,10,FALSE)*1)</f>
        <v>1</v>
      </c>
      <c r="AF527" t="str">
        <f>VLOOKUP(Table1[[#This Row],[sheet]],Prg!$A$7:$J$31,5,FALSE)</f>
        <v>BURKINA FASO</v>
      </c>
      <c r="AG527">
        <f>ROW()</f>
        <v>527</v>
      </c>
    </row>
    <row r="528" spans="24:33" hidden="1" x14ac:dyDescent="0.25">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427227.73</v>
      </c>
      <c r="AE528">
        <f>IF(VLOOKUP(Table1[[#This Row],[sheet]],Prg!$A$7:$J$31,10,FALSE)="","",VLOOKUP(Table1[[#This Row],[sheet]],Prg!$A$7:$J$31,10,FALSE)*1)</f>
        <v>1</v>
      </c>
      <c r="AF528" t="str">
        <f>VLOOKUP(Table1[[#This Row],[sheet]],Prg!$A$7:$J$31,5,FALSE)</f>
        <v>BURKINA FASO</v>
      </c>
      <c r="AG528">
        <f>ROW()</f>
        <v>528</v>
      </c>
    </row>
    <row r="529" spans="24:33" hidden="1" x14ac:dyDescent="0.25">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572283.80999999994</v>
      </c>
      <c r="AE529">
        <f>IF(VLOOKUP(Table1[[#This Row],[sheet]],Prg!$A$7:$J$31,10,FALSE)="","",VLOOKUP(Table1[[#This Row],[sheet]],Prg!$A$7:$J$31,10,FALSE)*1)</f>
        <v>1</v>
      </c>
      <c r="AF529" t="str">
        <f>VLOOKUP(Table1[[#This Row],[sheet]],Prg!$A$7:$J$31,5,FALSE)</f>
        <v>BURKINA FASO</v>
      </c>
      <c r="AG529">
        <f>ROW()</f>
        <v>529</v>
      </c>
    </row>
    <row r="530" spans="24:33" hidden="1" x14ac:dyDescent="0.25">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20000</v>
      </c>
      <c r="AE530">
        <f>IF(VLOOKUP(Table1[[#This Row],[sheet]],Prg!$A$7:$J$31,10,FALSE)="","",VLOOKUP(Table1[[#This Row],[sheet]],Prg!$A$7:$J$31,10,FALSE)*1)</f>
        <v>1</v>
      </c>
      <c r="AF530" t="str">
        <f>VLOOKUP(Table1[[#This Row],[sheet]],Prg!$A$7:$J$31,5,FALSE)</f>
        <v>BURKINA FASO</v>
      </c>
      <c r="AG530">
        <f>ROW()</f>
        <v>530</v>
      </c>
    </row>
    <row r="531" spans="24:33" hidden="1" x14ac:dyDescent="0.25">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0</v>
      </c>
      <c r="AE531">
        <f>IF(VLOOKUP(Table1[[#This Row],[sheet]],Prg!$A$7:$J$31,10,FALSE)="","",VLOOKUP(Table1[[#This Row],[sheet]],Prg!$A$7:$J$31,10,FALSE)*1)</f>
        <v>1</v>
      </c>
      <c r="AF531" t="str">
        <f>VLOOKUP(Table1[[#This Row],[sheet]],Prg!$A$7:$J$31,5,FALSE)</f>
        <v>BURKINA FASO</v>
      </c>
      <c r="AG531">
        <f>ROW()</f>
        <v>531</v>
      </c>
    </row>
    <row r="532" spans="24:33" hidden="1" x14ac:dyDescent="0.25">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20000</v>
      </c>
      <c r="AE532">
        <f>IF(VLOOKUP(Table1[[#This Row],[sheet]],Prg!$A$7:$J$31,10,FALSE)="","",VLOOKUP(Table1[[#This Row],[sheet]],Prg!$A$7:$J$31,10,FALSE)*1)</f>
        <v>1</v>
      </c>
      <c r="AF532" t="str">
        <f>VLOOKUP(Table1[[#This Row],[sheet]],Prg!$A$7:$J$31,5,FALSE)</f>
        <v>BURKINA FASO</v>
      </c>
      <c r="AG532">
        <f>ROW()</f>
        <v>532</v>
      </c>
    </row>
    <row r="533" spans="24:33" hidden="1" x14ac:dyDescent="0.25">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0</v>
      </c>
      <c r="AE533">
        <f>IF(VLOOKUP(Table1[[#This Row],[sheet]],Prg!$A$7:$J$31,10,FALSE)="","",VLOOKUP(Table1[[#This Row],[sheet]],Prg!$A$7:$J$31,10,FALSE)*1)</f>
        <v>1</v>
      </c>
      <c r="AF533" t="str">
        <f>VLOOKUP(Table1[[#This Row],[sheet]],Prg!$A$7:$J$31,5,FALSE)</f>
        <v>BURKINA FASO</v>
      </c>
      <c r="AG533">
        <f>ROW()</f>
        <v>533</v>
      </c>
    </row>
    <row r="534" spans="24:33" hidden="1" x14ac:dyDescent="0.25">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3884578.9099999997</v>
      </c>
      <c r="AE534">
        <f>IF(VLOOKUP(Table1[[#This Row],[sheet]],Prg!$A$7:$J$31,10,FALSE)="","",VLOOKUP(Table1[[#This Row],[sheet]],Prg!$A$7:$J$31,10,FALSE)*1)</f>
        <v>1</v>
      </c>
      <c r="AF534" t="str">
        <f>VLOOKUP(Table1[[#This Row],[sheet]],Prg!$A$7:$J$31,5,FALSE)</f>
        <v>BURKINA FASO</v>
      </c>
      <c r="AG534">
        <f>ROW()</f>
        <v>534</v>
      </c>
    </row>
    <row r="535" spans="24:33" hidden="1" x14ac:dyDescent="0.25">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104706.37000000001</v>
      </c>
      <c r="AE535">
        <f>IF(VLOOKUP(Table1[[#This Row],[sheet]],Prg!$A$7:$J$31,10,FALSE)="","",VLOOKUP(Table1[[#This Row],[sheet]],Prg!$A$7:$J$31,10,FALSE)*1)</f>
        <v>1</v>
      </c>
      <c r="AF535" t="str">
        <f>VLOOKUP(Table1[[#This Row],[sheet]],Prg!$A$7:$J$31,5,FALSE)</f>
        <v>BURKINA FASO</v>
      </c>
      <c r="AG535">
        <f>ROW()</f>
        <v>535</v>
      </c>
    </row>
    <row r="536" spans="24:33" hidden="1" x14ac:dyDescent="0.25">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0</v>
      </c>
      <c r="AE536">
        <f>IF(VLOOKUP(Table1[[#This Row],[sheet]],Prg!$A$7:$J$31,10,FALSE)="","",VLOOKUP(Table1[[#This Row],[sheet]],Prg!$A$7:$J$31,10,FALSE)*1)</f>
        <v>1</v>
      </c>
      <c r="AF536" t="str">
        <f>VLOOKUP(Table1[[#This Row],[sheet]],Prg!$A$7:$J$31,5,FALSE)</f>
        <v>BURKINA FASO</v>
      </c>
      <c r="AG536">
        <f>ROW()</f>
        <v>536</v>
      </c>
    </row>
    <row r="537" spans="24:33" hidden="1" x14ac:dyDescent="0.25">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19722.510000000006</v>
      </c>
      <c r="AE537">
        <f>IF(VLOOKUP(Table1[[#This Row],[sheet]],Prg!$A$7:$J$31,10,FALSE)="","",VLOOKUP(Table1[[#This Row],[sheet]],Prg!$A$7:$J$31,10,FALSE)*1)</f>
        <v>1</v>
      </c>
      <c r="AF537" t="str">
        <f>VLOOKUP(Table1[[#This Row],[sheet]],Prg!$A$7:$J$31,5,FALSE)</f>
        <v>BURKINA FASO</v>
      </c>
      <c r="AG537">
        <f>ROW()</f>
        <v>537</v>
      </c>
    </row>
    <row r="538" spans="24:33" hidden="1" x14ac:dyDescent="0.25">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84983.86</v>
      </c>
      <c r="AE538">
        <f>IF(VLOOKUP(Table1[[#This Row],[sheet]],Prg!$A$7:$J$31,10,FALSE)="","",VLOOKUP(Table1[[#This Row],[sheet]],Prg!$A$7:$J$31,10,FALSE)*1)</f>
        <v>1</v>
      </c>
      <c r="AF538" t="str">
        <f>VLOOKUP(Table1[[#This Row],[sheet]],Prg!$A$7:$J$31,5,FALSE)</f>
        <v>BURKINA FASO</v>
      </c>
      <c r="AG538">
        <f>ROW()</f>
        <v>538</v>
      </c>
    </row>
    <row r="539" spans="24:33" hidden="1" x14ac:dyDescent="0.25">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2636678.37</v>
      </c>
      <c r="AE539">
        <f>IF(VLOOKUP(Table1[[#This Row],[sheet]],Prg!$A$7:$J$31,10,FALSE)="","",VLOOKUP(Table1[[#This Row],[sheet]],Prg!$A$7:$J$31,10,FALSE)*1)</f>
        <v>1</v>
      </c>
      <c r="AF539" t="str">
        <f>VLOOKUP(Table1[[#This Row],[sheet]],Prg!$A$7:$J$31,5,FALSE)</f>
        <v>BURKINA FASO</v>
      </c>
      <c r="AG539">
        <f>ROW()</f>
        <v>539</v>
      </c>
    </row>
    <row r="540" spans="24:33" hidden="1" x14ac:dyDescent="0.25">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36160.839999999997</v>
      </c>
      <c r="AE540">
        <f>IF(VLOOKUP(Table1[[#This Row],[sheet]],Prg!$A$7:$J$31,10,FALSE)="","",VLOOKUP(Table1[[#This Row],[sheet]],Prg!$A$7:$J$31,10,FALSE)*1)</f>
        <v>1</v>
      </c>
      <c r="AF540" t="str">
        <f>VLOOKUP(Table1[[#This Row],[sheet]],Prg!$A$7:$J$31,5,FALSE)</f>
        <v>BURKINA FASO</v>
      </c>
      <c r="AG540">
        <f>ROW()</f>
        <v>540</v>
      </c>
    </row>
    <row r="541" spans="24:33" hidden="1" x14ac:dyDescent="0.25">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305471.03000000003</v>
      </c>
      <c r="AE541">
        <f>IF(VLOOKUP(Table1[[#This Row],[sheet]],Prg!$A$7:$J$31,10,FALSE)="","",VLOOKUP(Table1[[#This Row],[sheet]],Prg!$A$7:$J$31,10,FALSE)*1)</f>
        <v>1</v>
      </c>
      <c r="AF541" t="str">
        <f>VLOOKUP(Table1[[#This Row],[sheet]],Prg!$A$7:$J$31,5,FALSE)</f>
        <v>BURKINA FASO</v>
      </c>
      <c r="AG541">
        <f>ROW()</f>
        <v>541</v>
      </c>
    </row>
    <row r="542" spans="24:33" hidden="1" x14ac:dyDescent="0.25">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2295046.5</v>
      </c>
      <c r="AE542">
        <f>IF(VLOOKUP(Table1[[#This Row],[sheet]],Prg!$A$7:$J$31,10,FALSE)="","",VLOOKUP(Table1[[#This Row],[sheet]],Prg!$A$7:$J$31,10,FALSE)*1)</f>
        <v>1</v>
      </c>
      <c r="AF542" t="str">
        <f>VLOOKUP(Table1[[#This Row],[sheet]],Prg!$A$7:$J$31,5,FALSE)</f>
        <v>BURKINA FASO</v>
      </c>
      <c r="AG542">
        <f>ROW()</f>
        <v>542</v>
      </c>
    </row>
    <row r="543" spans="24:33" hidden="1" x14ac:dyDescent="0.25">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1143194.17</v>
      </c>
      <c r="AE543">
        <f>IF(VLOOKUP(Table1[[#This Row],[sheet]],Prg!$A$7:$J$31,10,FALSE)="","",VLOOKUP(Table1[[#This Row],[sheet]],Prg!$A$7:$J$31,10,FALSE)*1)</f>
        <v>1</v>
      </c>
      <c r="AF543" t="str">
        <f>VLOOKUP(Table1[[#This Row],[sheet]],Prg!$A$7:$J$31,5,FALSE)</f>
        <v>BURKINA FASO</v>
      </c>
      <c r="AG543">
        <f>ROW()</f>
        <v>543</v>
      </c>
    </row>
    <row r="544" spans="24:33" hidden="1" x14ac:dyDescent="0.25">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0</v>
      </c>
      <c r="AE544">
        <f>IF(VLOOKUP(Table1[[#This Row],[sheet]],Prg!$A$7:$J$31,10,FALSE)="","",VLOOKUP(Table1[[#This Row],[sheet]],Prg!$A$7:$J$31,10,FALSE)*1)</f>
        <v>1</v>
      </c>
      <c r="AF544" t="str">
        <f>VLOOKUP(Table1[[#This Row],[sheet]],Prg!$A$7:$J$31,5,FALSE)</f>
        <v>BURKINA FASO</v>
      </c>
      <c r="AG544">
        <f>ROW()</f>
        <v>544</v>
      </c>
    </row>
    <row r="545" spans="24:33" hidden="1" x14ac:dyDescent="0.25">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BURKINA FASO</v>
      </c>
      <c r="AG545">
        <f>ROW()</f>
        <v>545</v>
      </c>
    </row>
    <row r="546" spans="24:33" hidden="1" x14ac:dyDescent="0.25">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1143194.17</v>
      </c>
      <c r="AE546">
        <f>IF(VLOOKUP(Table1[[#This Row],[sheet]],Prg!$A$7:$J$31,10,FALSE)="","",VLOOKUP(Table1[[#This Row],[sheet]],Prg!$A$7:$J$31,10,FALSE)*1)</f>
        <v>1</v>
      </c>
      <c r="AF546" t="str">
        <f>VLOOKUP(Table1[[#This Row],[sheet]],Prg!$A$7:$J$31,5,FALSE)</f>
        <v>BURKINA FASO</v>
      </c>
      <c r="AG546">
        <f>ROW()</f>
        <v>546</v>
      </c>
    </row>
    <row r="547" spans="24:33" hidden="1" x14ac:dyDescent="0.25">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BURKINA FASO</v>
      </c>
      <c r="AG547">
        <f>ROW()</f>
        <v>547</v>
      </c>
    </row>
    <row r="548" spans="24:33" hidden="1" x14ac:dyDescent="0.25">
      <c r="X548">
        <v>4</v>
      </c>
      <c r="Y548" s="53" t="s">
        <v>753</v>
      </c>
      <c r="Z548" s="53" t="s">
        <v>162</v>
      </c>
      <c r="AA548" s="53" t="str">
        <f>IF(OR(VLOOKUP(Table1[[#This Row],[sheet]],Prg!$A$7:$F$31,6,FALSE)=Prg!$O$2,VLOOKUP(Table1[[#This Row],[sheet]],Prg!$A$7:$F$31,6,FALSE)=Prg!$O$3),"Yes","No")</f>
        <v>Yes</v>
      </c>
      <c r="AB548" s="53">
        <v>2022</v>
      </c>
      <c r="AC548">
        <v>15</v>
      </c>
      <c r="AD548">
        <f ca="1">IF(ISERROR(VLOOKUP(Table1[[#This Row],[item]],INDIRECT("'"&amp;Table1[[#This Row],[sheet]]&amp;"'!$A$8:$T$42"),Table1[[#This Row],[r]],FALSE)),"",VLOOKUP(Table1[[#This Row],[item]],INDIRECT("'"&amp;Table1[[#This Row],[sheet]]&amp;"'!$A$8:$T$42"),Table1[[#This Row],[r]],FALSE))</f>
        <v>346054.22460135177</v>
      </c>
      <c r="AE548">
        <f>IF(VLOOKUP(Table1[[#This Row],[sheet]],Prg!$A$7:$J$31,10,FALSE)="","",VLOOKUP(Table1[[#This Row],[sheet]],Prg!$A$7:$J$31,10,FALSE)*1)</f>
        <v>1</v>
      </c>
      <c r="AF548" t="str">
        <f>VLOOKUP(Table1[[#This Row],[sheet]],Prg!$A$7:$J$31,5,FALSE)</f>
        <v>MALI REP</v>
      </c>
      <c r="AG548">
        <f>ROW()</f>
        <v>548</v>
      </c>
    </row>
    <row r="549" spans="24:33" hidden="1" x14ac:dyDescent="0.25">
      <c r="X549">
        <v>4</v>
      </c>
      <c r="Y549" t="s">
        <v>754</v>
      </c>
      <c r="Z549" t="s">
        <v>164</v>
      </c>
      <c r="AA549" t="str">
        <f>IF(OR(VLOOKUP(Table1[[#This Row],[sheet]],Prg!$A$7:$F$31,6,FALSE)=Prg!$O$2,VLOOKUP(Table1[[#This Row],[sheet]],Prg!$A$7:$F$31,6,FALSE)=Prg!$O$3),"Yes","No")</f>
        <v>Yes</v>
      </c>
      <c r="AB549">
        <v>2022</v>
      </c>
      <c r="AC549">
        <v>15</v>
      </c>
      <c r="AD549">
        <f ca="1">IF(ISERROR(VLOOKUP(Table1[[#This Row],[item]],INDIRECT("'"&amp;Table1[[#This Row],[sheet]]&amp;"'!$A$8:$T$42"),Table1[[#This Row],[r]],FALSE)),"",VLOOKUP(Table1[[#This Row],[item]],INDIRECT("'"&amp;Table1[[#This Row],[sheet]]&amp;"'!$A$8:$T$42"),Table1[[#This Row],[r]],FALSE))</f>
        <v>52946.931871123219</v>
      </c>
      <c r="AE549">
        <f>IF(VLOOKUP(Table1[[#This Row],[sheet]],Prg!$A$7:$J$31,10,FALSE)="","",VLOOKUP(Table1[[#This Row],[sheet]],Prg!$A$7:$J$31,10,FALSE)*1)</f>
        <v>1</v>
      </c>
      <c r="AF549" t="str">
        <f>VLOOKUP(Table1[[#This Row],[sheet]],Prg!$A$7:$J$31,5,FALSE)</f>
        <v>MALI REP</v>
      </c>
      <c r="AG549">
        <f>ROW()</f>
        <v>549</v>
      </c>
    </row>
    <row r="550" spans="24:33" hidden="1" x14ac:dyDescent="0.25">
      <c r="X550">
        <v>4</v>
      </c>
      <c r="Y550" t="s">
        <v>755</v>
      </c>
      <c r="Z550" t="s">
        <v>166</v>
      </c>
      <c r="AA550" t="str">
        <f>IF(OR(VLOOKUP(Table1[[#This Row],[sheet]],Prg!$A$7:$F$31,6,FALSE)=Prg!$O$2,VLOOKUP(Table1[[#This Row],[sheet]],Prg!$A$7:$F$31,6,FALSE)=Prg!$O$3),"Yes","No")</f>
        <v>Yes</v>
      </c>
      <c r="AB550">
        <v>2022</v>
      </c>
      <c r="AC550">
        <v>15</v>
      </c>
      <c r="AD550">
        <f ca="1">IF(ISERROR(VLOOKUP(Table1[[#This Row],[item]],INDIRECT("'"&amp;Table1[[#This Row],[sheet]]&amp;"'!$A$8:$T$42"),Table1[[#This Row],[r]],FALSE)),"",VLOOKUP(Table1[[#This Row],[item]],INDIRECT("'"&amp;Table1[[#This Row],[sheet]]&amp;"'!$A$8:$T$42"),Table1[[#This Row],[r]],FALSE))</f>
        <v>206562.13</v>
      </c>
      <c r="AE550">
        <f>IF(VLOOKUP(Table1[[#This Row],[sheet]],Prg!$A$7:$J$31,10,FALSE)="","",VLOOKUP(Table1[[#This Row],[sheet]],Prg!$A$7:$J$31,10,FALSE)*1)</f>
        <v>1</v>
      </c>
      <c r="AF550" t="str">
        <f>VLOOKUP(Table1[[#This Row],[sheet]],Prg!$A$7:$J$31,5,FALSE)</f>
        <v>MALI REP</v>
      </c>
      <c r="AG550">
        <f>ROW()</f>
        <v>550</v>
      </c>
    </row>
    <row r="551" spans="24:33" hidden="1" x14ac:dyDescent="0.25">
      <c r="X551">
        <v>4</v>
      </c>
      <c r="Y551" t="s">
        <v>756</v>
      </c>
      <c r="Z551" t="s">
        <v>757</v>
      </c>
      <c r="AA551" t="str">
        <f>IF(OR(VLOOKUP(Table1[[#This Row],[sheet]],Prg!$A$7:$F$31,6,FALSE)=Prg!$O$2,VLOOKUP(Table1[[#This Row],[sheet]],Prg!$A$7:$F$31,6,FALSE)=Prg!$O$3),"Yes","No")</f>
        <v>Yes</v>
      </c>
      <c r="AB551">
        <v>2022</v>
      </c>
      <c r="AC551">
        <v>15</v>
      </c>
      <c r="AD551">
        <f ca="1">IF(ISERROR(VLOOKUP(Table1[[#This Row],[item]],INDIRECT("'"&amp;Table1[[#This Row],[sheet]]&amp;"'!$A$8:$T$42"),Table1[[#This Row],[r]],FALSE)),"",VLOOKUP(Table1[[#This Row],[item]],INDIRECT("'"&amp;Table1[[#This Row],[sheet]]&amp;"'!$A$8:$T$42"),Table1[[#This Row],[r]],FALSE))</f>
        <v>86545.162730228563</v>
      </c>
      <c r="AE551">
        <f>IF(VLOOKUP(Table1[[#This Row],[sheet]],Prg!$A$7:$J$31,10,FALSE)="","",VLOOKUP(Table1[[#This Row],[sheet]],Prg!$A$7:$J$31,10,FALSE)*1)</f>
        <v>1</v>
      </c>
      <c r="AF551" t="str">
        <f>VLOOKUP(Table1[[#This Row],[sheet]],Prg!$A$7:$J$31,5,FALSE)</f>
        <v>MALI REP</v>
      </c>
      <c r="AG551">
        <f>ROW()</f>
        <v>551</v>
      </c>
    </row>
    <row r="552" spans="24:33" hidden="1" x14ac:dyDescent="0.25">
      <c r="X552">
        <v>4</v>
      </c>
      <c r="Y552" t="s">
        <v>758</v>
      </c>
      <c r="Z552" t="s">
        <v>170</v>
      </c>
      <c r="AA552" t="str">
        <f>IF(OR(VLOOKUP(Table1[[#This Row],[sheet]],Prg!$A$7:$F$31,6,FALSE)=Prg!$O$2,VLOOKUP(Table1[[#This Row],[sheet]],Prg!$A$7:$F$31,6,FALSE)=Prg!$O$3),"Yes","No")</f>
        <v>Yes</v>
      </c>
      <c r="AB552">
        <v>2022</v>
      </c>
      <c r="AC552">
        <v>15</v>
      </c>
      <c r="AD552">
        <f ca="1">IF(ISERROR(VLOOKUP(Table1[[#This Row],[item]],INDIRECT("'"&amp;Table1[[#This Row],[sheet]]&amp;"'!$A$8:$T$42"),Table1[[#This Row],[r]],FALSE)),"",VLOOKUP(Table1[[#This Row],[item]],INDIRECT("'"&amp;Table1[[#This Row],[sheet]]&amp;"'!$A$8:$T$42"),Table1[[#This Row],[r]],FALSE))</f>
        <v>21477.17</v>
      </c>
      <c r="AE552">
        <f>IF(VLOOKUP(Table1[[#This Row],[sheet]],Prg!$A$7:$J$31,10,FALSE)="","",VLOOKUP(Table1[[#This Row],[sheet]],Prg!$A$7:$J$31,10,FALSE)*1)</f>
        <v>1</v>
      </c>
      <c r="AF552" t="str">
        <f>VLOOKUP(Table1[[#This Row],[sheet]],Prg!$A$7:$J$31,5,FALSE)</f>
        <v>MALI REP</v>
      </c>
      <c r="AG552">
        <f>ROW()</f>
        <v>552</v>
      </c>
    </row>
    <row r="553" spans="24:33" hidden="1" x14ac:dyDescent="0.25">
      <c r="X553">
        <v>4</v>
      </c>
      <c r="Y553" t="s">
        <v>759</v>
      </c>
      <c r="Z553" t="s">
        <v>172</v>
      </c>
      <c r="AA553" t="str">
        <f>IF(OR(VLOOKUP(Table1[[#This Row],[sheet]],Prg!$A$7:$F$31,6,FALSE)=Prg!$O$2,VLOOKUP(Table1[[#This Row],[sheet]],Prg!$A$7:$F$31,6,FALSE)=Prg!$O$3),"Yes","No")</f>
        <v>Yes</v>
      </c>
      <c r="AB553">
        <v>2022</v>
      </c>
      <c r="AC553">
        <v>15</v>
      </c>
      <c r="AD553">
        <f ca="1">IF(ISERROR(VLOOKUP(Table1[[#This Row],[item]],INDIRECT("'"&amp;Table1[[#This Row],[sheet]]&amp;"'!$A$8:$T$42"),Table1[[#This Row],[r]],FALSE)),"",VLOOKUP(Table1[[#This Row],[item]],INDIRECT("'"&amp;Table1[[#This Row],[sheet]]&amp;"'!$A$8:$T$42"),Table1[[#This Row],[r]],FALSE))</f>
        <v>0</v>
      </c>
      <c r="AE553">
        <f>IF(VLOOKUP(Table1[[#This Row],[sheet]],Prg!$A$7:$J$31,10,FALSE)="","",VLOOKUP(Table1[[#This Row],[sheet]],Prg!$A$7:$J$31,10,FALSE)*1)</f>
        <v>1</v>
      </c>
      <c r="AF553" t="str">
        <f>VLOOKUP(Table1[[#This Row],[sheet]],Prg!$A$7:$J$31,5,FALSE)</f>
        <v>MALI REP</v>
      </c>
      <c r="AG553">
        <f>ROW()</f>
        <v>553</v>
      </c>
    </row>
    <row r="554" spans="24:33" hidden="1" x14ac:dyDescent="0.25">
      <c r="X554">
        <v>4</v>
      </c>
      <c r="Y554" t="s">
        <v>760</v>
      </c>
      <c r="Z554" t="s">
        <v>174</v>
      </c>
      <c r="AA554" t="str">
        <f>IF(OR(VLOOKUP(Table1[[#This Row],[sheet]],Prg!$A$7:$F$31,6,FALSE)=Prg!$O$2,VLOOKUP(Table1[[#This Row],[sheet]],Prg!$A$7:$F$31,6,FALSE)=Prg!$O$3),"Yes","No")</f>
        <v>Yes</v>
      </c>
      <c r="AB554">
        <v>2022</v>
      </c>
      <c r="AC554">
        <v>15</v>
      </c>
      <c r="AD554">
        <f ca="1">IF(ISERROR(VLOOKUP(Table1[[#This Row],[item]],INDIRECT("'"&amp;Table1[[#This Row],[sheet]]&amp;"'!$A$8:$T$42"),Table1[[#This Row],[r]],FALSE)),"",VLOOKUP(Table1[[#This Row],[item]],INDIRECT("'"&amp;Table1[[#This Row],[sheet]]&amp;"'!$A$8:$T$42"),Table1[[#This Row],[r]],FALSE))</f>
        <v>21477.17</v>
      </c>
      <c r="AE554">
        <f>IF(VLOOKUP(Table1[[#This Row],[sheet]],Prg!$A$7:$J$31,10,FALSE)="","",VLOOKUP(Table1[[#This Row],[sheet]],Prg!$A$7:$J$31,10,FALSE)*1)</f>
        <v>1</v>
      </c>
      <c r="AF554" t="str">
        <f>VLOOKUP(Table1[[#This Row],[sheet]],Prg!$A$7:$J$31,5,FALSE)</f>
        <v>MALI REP</v>
      </c>
      <c r="AG554">
        <f>ROW()</f>
        <v>554</v>
      </c>
    </row>
    <row r="555" spans="24:33" hidden="1" x14ac:dyDescent="0.25">
      <c r="X555">
        <v>4</v>
      </c>
      <c r="Y555" t="s">
        <v>761</v>
      </c>
      <c r="Z555" t="s">
        <v>762</v>
      </c>
      <c r="AA555" t="str">
        <f>IF(OR(VLOOKUP(Table1[[#This Row],[sheet]],Prg!$A$7:$F$31,6,FALSE)=Prg!$O$2,VLOOKUP(Table1[[#This Row],[sheet]],Prg!$A$7:$F$31,6,FALSE)=Prg!$O$3),"Yes","No")</f>
        <v>Yes</v>
      </c>
      <c r="AB555">
        <v>2022</v>
      </c>
      <c r="AC555">
        <v>15</v>
      </c>
      <c r="AD555">
        <f ca="1">IF(ISERROR(VLOOKUP(Table1[[#This Row],[item]],INDIRECT("'"&amp;Table1[[#This Row],[sheet]]&amp;"'!$A$8:$T$42"),Table1[[#This Row],[r]],FALSE)),"",VLOOKUP(Table1[[#This Row],[item]],INDIRECT("'"&amp;Table1[[#This Row],[sheet]]&amp;"'!$A$8:$T$42"),Table1[[#This Row],[r]],FALSE))</f>
        <v>0</v>
      </c>
      <c r="AE555">
        <f>IF(VLOOKUP(Table1[[#This Row],[sheet]],Prg!$A$7:$J$31,10,FALSE)="","",VLOOKUP(Table1[[#This Row],[sheet]],Prg!$A$7:$J$31,10,FALSE)*1)</f>
        <v>1</v>
      </c>
      <c r="AF555" t="str">
        <f>VLOOKUP(Table1[[#This Row],[sheet]],Prg!$A$7:$J$31,5,FALSE)</f>
        <v>MALI REP</v>
      </c>
      <c r="AG555">
        <f>ROW()</f>
        <v>555</v>
      </c>
    </row>
    <row r="556" spans="24:33" hidden="1" x14ac:dyDescent="0.25">
      <c r="X556">
        <v>4</v>
      </c>
      <c r="Y556" t="s">
        <v>763</v>
      </c>
      <c r="Z556" t="s">
        <v>178</v>
      </c>
      <c r="AA556" t="str">
        <f>IF(OR(VLOOKUP(Table1[[#This Row],[sheet]],Prg!$A$7:$F$31,6,FALSE)=Prg!$O$2,VLOOKUP(Table1[[#This Row],[sheet]],Prg!$A$7:$F$31,6,FALSE)=Prg!$O$3),"Yes","No")</f>
        <v>Yes</v>
      </c>
      <c r="AB556">
        <v>2022</v>
      </c>
      <c r="AC556">
        <v>15</v>
      </c>
      <c r="AD556">
        <f ca="1">IF(ISERROR(VLOOKUP(Table1[[#This Row],[item]],INDIRECT("'"&amp;Table1[[#This Row],[sheet]]&amp;"'!$A$8:$T$42"),Table1[[#This Row],[r]],FALSE)),"",VLOOKUP(Table1[[#This Row],[item]],INDIRECT("'"&amp;Table1[[#This Row],[sheet]]&amp;"'!$A$8:$T$42"),Table1[[#This Row],[r]],FALSE))</f>
        <v>166904.48646520625</v>
      </c>
      <c r="AE556">
        <f>IF(VLOOKUP(Table1[[#This Row],[sheet]],Prg!$A$7:$J$31,10,FALSE)="","",VLOOKUP(Table1[[#This Row],[sheet]],Prg!$A$7:$J$31,10,FALSE)*1)</f>
        <v>1</v>
      </c>
      <c r="AF556" t="str">
        <f>VLOOKUP(Table1[[#This Row],[sheet]],Prg!$A$7:$J$31,5,FALSE)</f>
        <v>MALI REP</v>
      </c>
      <c r="AG556">
        <f>ROW()</f>
        <v>556</v>
      </c>
    </row>
    <row r="557" spans="24:33" hidden="1" x14ac:dyDescent="0.25">
      <c r="X557">
        <v>4</v>
      </c>
      <c r="Y557" t="s">
        <v>764</v>
      </c>
      <c r="Z557" t="s">
        <v>109</v>
      </c>
      <c r="AA557" t="str">
        <f>IF(OR(VLOOKUP(Table1[[#This Row],[sheet]],Prg!$A$7:$F$31,6,FALSE)=Prg!$O$2,VLOOKUP(Table1[[#This Row],[sheet]],Prg!$A$7:$F$31,6,FALSE)=Prg!$O$3),"Yes","No")</f>
        <v>Yes</v>
      </c>
      <c r="AB557">
        <v>2022</v>
      </c>
      <c r="AC557">
        <v>15</v>
      </c>
      <c r="AD557">
        <f ca="1">IF(ISERROR(VLOOKUP(Table1[[#This Row],[item]],INDIRECT("'"&amp;Table1[[#This Row],[sheet]]&amp;"'!$A$8:$T$42"),Table1[[#This Row],[r]],FALSE)),"",VLOOKUP(Table1[[#This Row],[item]],INDIRECT("'"&amp;Table1[[#This Row],[sheet]]&amp;"'!$A$8:$T$42"),Table1[[#This Row],[r]],FALSE))</f>
        <v>40499.990243259919</v>
      </c>
      <c r="AE557">
        <f>IF(VLOOKUP(Table1[[#This Row],[sheet]],Prg!$A$7:$J$31,10,FALSE)="","",VLOOKUP(Table1[[#This Row],[sheet]],Prg!$A$7:$J$31,10,FALSE)*1)</f>
        <v>1</v>
      </c>
      <c r="AF557" t="str">
        <f>VLOOKUP(Table1[[#This Row],[sheet]],Prg!$A$7:$J$31,5,FALSE)</f>
        <v>MALI REP</v>
      </c>
      <c r="AG557">
        <f>ROW()</f>
        <v>557</v>
      </c>
    </row>
    <row r="558" spans="24:33" hidden="1" x14ac:dyDescent="0.25">
      <c r="X558">
        <v>4</v>
      </c>
      <c r="Y558" t="s">
        <v>765</v>
      </c>
      <c r="Z558" t="s">
        <v>117</v>
      </c>
      <c r="AA558" t="str">
        <f>IF(OR(VLOOKUP(Table1[[#This Row],[sheet]],Prg!$A$7:$F$31,6,FALSE)=Prg!$O$2,VLOOKUP(Table1[[#This Row],[sheet]],Prg!$A$7:$F$31,6,FALSE)=Prg!$O$3),"Yes","No")</f>
        <v>Yes</v>
      </c>
      <c r="AB558">
        <v>2022</v>
      </c>
      <c r="AC558">
        <v>15</v>
      </c>
      <c r="AD558">
        <f ca="1">IF(ISERROR(VLOOKUP(Table1[[#This Row],[item]],INDIRECT("'"&amp;Table1[[#This Row],[sheet]]&amp;"'!$A$8:$T$42"),Table1[[#This Row],[r]],FALSE)),"",VLOOKUP(Table1[[#This Row],[item]],INDIRECT("'"&amp;Table1[[#This Row],[sheet]]&amp;"'!$A$8:$T$42"),Table1[[#This Row],[r]],FALSE))</f>
        <v>13295.2</v>
      </c>
      <c r="AE558">
        <f>IF(VLOOKUP(Table1[[#This Row],[sheet]],Prg!$A$7:$J$31,10,FALSE)="","",VLOOKUP(Table1[[#This Row],[sheet]],Prg!$A$7:$J$31,10,FALSE)*1)</f>
        <v>1</v>
      </c>
      <c r="AF558" t="str">
        <f>VLOOKUP(Table1[[#This Row],[sheet]],Prg!$A$7:$J$31,5,FALSE)</f>
        <v>MALI REP</v>
      </c>
      <c r="AG558">
        <f>ROW()</f>
        <v>558</v>
      </c>
    </row>
    <row r="559" spans="24:33" hidden="1" x14ac:dyDescent="0.25">
      <c r="X559">
        <v>4</v>
      </c>
      <c r="Y559" t="s">
        <v>766</v>
      </c>
      <c r="Z559" t="s">
        <v>767</v>
      </c>
      <c r="AA559" t="str">
        <f>IF(OR(VLOOKUP(Table1[[#This Row],[sheet]],Prg!$A$7:$F$31,6,FALSE)=Prg!$O$2,VLOOKUP(Table1[[#This Row],[sheet]],Prg!$A$7:$F$31,6,FALSE)=Prg!$O$3),"Yes","No")</f>
        <v>Yes</v>
      </c>
      <c r="AB559">
        <v>2022</v>
      </c>
      <c r="AC559">
        <v>15</v>
      </c>
      <c r="AD559">
        <f ca="1">IF(ISERROR(VLOOKUP(Table1[[#This Row],[item]],INDIRECT("'"&amp;Table1[[#This Row],[sheet]]&amp;"'!$A$8:$T$42"),Table1[[#This Row],[r]],FALSE)),"",VLOOKUP(Table1[[#This Row],[item]],INDIRECT("'"&amp;Table1[[#This Row],[sheet]]&amp;"'!$A$8:$T$42"),Table1[[#This Row],[r]],FALSE))</f>
        <v>113109.29622194632</v>
      </c>
      <c r="AE559">
        <f>IF(VLOOKUP(Table1[[#This Row],[sheet]],Prg!$A$7:$J$31,10,FALSE)="","",VLOOKUP(Table1[[#This Row],[sheet]],Prg!$A$7:$J$31,10,FALSE)*1)</f>
        <v>1</v>
      </c>
      <c r="AF559" t="str">
        <f>VLOOKUP(Table1[[#This Row],[sheet]],Prg!$A$7:$J$31,5,FALSE)</f>
        <v>MALI REP</v>
      </c>
      <c r="AG559">
        <f>ROW()</f>
        <v>559</v>
      </c>
    </row>
    <row r="560" spans="24:33" hidden="1" x14ac:dyDescent="0.25">
      <c r="X560">
        <v>4</v>
      </c>
      <c r="Y560" t="s">
        <v>768</v>
      </c>
      <c r="Z560" t="s">
        <v>182</v>
      </c>
      <c r="AA560" t="str">
        <f>IF(OR(VLOOKUP(Table1[[#This Row],[sheet]],Prg!$A$7:$F$31,6,FALSE)=Prg!$O$2,VLOOKUP(Table1[[#This Row],[sheet]],Prg!$A$7:$F$31,6,FALSE)=Prg!$O$3),"Yes","No")</f>
        <v>Yes</v>
      </c>
      <c r="AB560">
        <v>2022</v>
      </c>
      <c r="AC560">
        <v>15</v>
      </c>
      <c r="AD560">
        <f ca="1">IF(ISERROR(VLOOKUP(Table1[[#This Row],[item]],INDIRECT("'"&amp;Table1[[#This Row],[sheet]]&amp;"'!$A$8:$T$42"),Table1[[#This Row],[r]],FALSE)),"",VLOOKUP(Table1[[#This Row],[item]],INDIRECT("'"&amp;Table1[[#This Row],[sheet]]&amp;"'!$A$8:$T$42"),Table1[[#This Row],[r]],FALSE))</f>
        <v>4000</v>
      </c>
      <c r="AE560">
        <f>IF(VLOOKUP(Table1[[#This Row],[sheet]],Prg!$A$7:$J$31,10,FALSE)="","",VLOOKUP(Table1[[#This Row],[sheet]],Prg!$A$7:$J$31,10,FALSE)*1)</f>
        <v>1</v>
      </c>
      <c r="AF560" t="str">
        <f>VLOOKUP(Table1[[#This Row],[sheet]],Prg!$A$7:$J$31,5,FALSE)</f>
        <v>MALI REP</v>
      </c>
      <c r="AG560">
        <f>ROW()</f>
        <v>560</v>
      </c>
    </row>
    <row r="561" spans="24:33" hidden="1" x14ac:dyDescent="0.25">
      <c r="X561">
        <v>4</v>
      </c>
      <c r="Y561" t="s">
        <v>769</v>
      </c>
      <c r="Z561" t="s">
        <v>184</v>
      </c>
      <c r="AA561" t="str">
        <f>IF(OR(VLOOKUP(Table1[[#This Row],[sheet]],Prg!$A$7:$F$31,6,FALSE)=Prg!$O$2,VLOOKUP(Table1[[#This Row],[sheet]],Prg!$A$7:$F$31,6,FALSE)=Prg!$O$3),"Yes","No")</f>
        <v>Yes</v>
      </c>
      <c r="AB561">
        <v>2022</v>
      </c>
      <c r="AC561">
        <v>15</v>
      </c>
      <c r="AD561">
        <f ca="1">IF(ISERROR(VLOOKUP(Table1[[#This Row],[item]],INDIRECT("'"&amp;Table1[[#This Row],[sheet]]&amp;"'!$A$8:$T$42"),Table1[[#This Row],[r]],FALSE)),"",VLOOKUP(Table1[[#This Row],[item]],INDIRECT("'"&amp;Table1[[#This Row],[sheet]]&amp;"'!$A$8:$T$42"),Table1[[#This Row],[r]],FALSE))</f>
        <v>0</v>
      </c>
      <c r="AE561">
        <f>IF(VLOOKUP(Table1[[#This Row],[sheet]],Prg!$A$7:$J$31,10,FALSE)="","",VLOOKUP(Table1[[#This Row],[sheet]],Prg!$A$7:$J$31,10,FALSE)*1)</f>
        <v>1</v>
      </c>
      <c r="AF561" t="str">
        <f>VLOOKUP(Table1[[#This Row],[sheet]],Prg!$A$7:$J$31,5,FALSE)</f>
        <v>MALI REP</v>
      </c>
      <c r="AG561">
        <f>ROW()</f>
        <v>561</v>
      </c>
    </row>
    <row r="562" spans="24:33" hidden="1" x14ac:dyDescent="0.25">
      <c r="X562">
        <v>4</v>
      </c>
      <c r="Y562" t="s">
        <v>770</v>
      </c>
      <c r="Z562" t="s">
        <v>186</v>
      </c>
      <c r="AA562" t="str">
        <f>IF(OR(VLOOKUP(Table1[[#This Row],[sheet]],Prg!$A$7:$F$31,6,FALSE)=Prg!$O$2,VLOOKUP(Table1[[#This Row],[sheet]],Prg!$A$7:$F$31,6,FALSE)=Prg!$O$3),"Yes","No")</f>
        <v>Yes</v>
      </c>
      <c r="AB562">
        <v>2022</v>
      </c>
      <c r="AC562">
        <v>15</v>
      </c>
      <c r="AD562">
        <f ca="1">IF(ISERROR(VLOOKUP(Table1[[#This Row],[item]],INDIRECT("'"&amp;Table1[[#This Row],[sheet]]&amp;"'!$A$8:$T$42"),Table1[[#This Row],[r]],FALSE)),"",VLOOKUP(Table1[[#This Row],[item]],INDIRECT("'"&amp;Table1[[#This Row],[sheet]]&amp;"'!$A$8:$T$42"),Table1[[#This Row],[r]],FALSE))</f>
        <v>4000</v>
      </c>
      <c r="AE562">
        <f>IF(VLOOKUP(Table1[[#This Row],[sheet]],Prg!$A$7:$J$31,10,FALSE)="","",VLOOKUP(Table1[[#This Row],[sheet]],Prg!$A$7:$J$31,10,FALSE)*1)</f>
        <v>1</v>
      </c>
      <c r="AF562" t="str">
        <f>VLOOKUP(Table1[[#This Row],[sheet]],Prg!$A$7:$J$31,5,FALSE)</f>
        <v>MALI REP</v>
      </c>
      <c r="AG562">
        <f>ROW()</f>
        <v>562</v>
      </c>
    </row>
    <row r="563" spans="24:33" hidden="1" x14ac:dyDescent="0.25">
      <c r="X563">
        <v>4</v>
      </c>
      <c r="Y563" t="s">
        <v>771</v>
      </c>
      <c r="Z563" t="s">
        <v>772</v>
      </c>
      <c r="AA563" t="str">
        <f>IF(OR(VLOOKUP(Table1[[#This Row],[sheet]],Prg!$A$7:$F$31,6,FALSE)=Prg!$O$2,VLOOKUP(Table1[[#This Row],[sheet]],Prg!$A$7:$F$31,6,FALSE)=Prg!$O$3),"Yes","No")</f>
        <v>Yes</v>
      </c>
      <c r="AB563">
        <v>2022</v>
      </c>
      <c r="AC563">
        <v>15</v>
      </c>
      <c r="AD563">
        <f ca="1">IF(ISERROR(VLOOKUP(Table1[[#This Row],[item]],INDIRECT("'"&amp;Table1[[#This Row],[sheet]]&amp;"'!$A$8:$T$42"),Table1[[#This Row],[r]],FALSE)),"",VLOOKUP(Table1[[#This Row],[item]],INDIRECT("'"&amp;Table1[[#This Row],[sheet]]&amp;"'!$A$8:$T$42"),Table1[[#This Row],[r]],FALSE))</f>
        <v>0</v>
      </c>
      <c r="AE563">
        <f>IF(VLOOKUP(Table1[[#This Row],[sheet]],Prg!$A$7:$J$31,10,FALSE)="","",VLOOKUP(Table1[[#This Row],[sheet]],Prg!$A$7:$J$31,10,FALSE)*1)</f>
        <v>1</v>
      </c>
      <c r="AF563" t="str">
        <f>VLOOKUP(Table1[[#This Row],[sheet]],Prg!$A$7:$J$31,5,FALSE)</f>
        <v>MALI REP</v>
      </c>
      <c r="AG563">
        <f>ROW()</f>
        <v>563</v>
      </c>
    </row>
    <row r="564" spans="24:33" hidden="1" x14ac:dyDescent="0.25">
      <c r="X564">
        <v>4</v>
      </c>
      <c r="Y564" t="s">
        <v>773</v>
      </c>
      <c r="Z564" t="s">
        <v>190</v>
      </c>
      <c r="AA564" t="str">
        <f>IF(OR(VLOOKUP(Table1[[#This Row],[sheet]],Prg!$A$7:$F$31,6,FALSE)=Prg!$O$2,VLOOKUP(Table1[[#This Row],[sheet]],Prg!$A$7:$F$31,6,FALSE)=Prg!$O$3),"Yes","No")</f>
        <v>Yes</v>
      </c>
      <c r="AB564">
        <v>2022</v>
      </c>
      <c r="AC564">
        <v>15</v>
      </c>
      <c r="AD564">
        <f ca="1">IF(ISERROR(VLOOKUP(Table1[[#This Row],[item]],INDIRECT("'"&amp;Table1[[#This Row],[sheet]]&amp;"'!$A$8:$T$42"),Table1[[#This Row],[r]],FALSE)),"",VLOOKUP(Table1[[#This Row],[item]],INDIRECT("'"&amp;Table1[[#This Row],[sheet]]&amp;"'!$A$8:$T$42"),Table1[[#This Row],[r]],FALSE))</f>
        <v>538435.88106655795</v>
      </c>
      <c r="AE564">
        <f>IF(VLOOKUP(Table1[[#This Row],[sheet]],Prg!$A$7:$J$31,10,FALSE)="","",VLOOKUP(Table1[[#This Row],[sheet]],Prg!$A$7:$J$31,10,FALSE)*1)</f>
        <v>1</v>
      </c>
      <c r="AF564" t="str">
        <f>VLOOKUP(Table1[[#This Row],[sheet]],Prg!$A$7:$J$31,5,FALSE)</f>
        <v>MALI REP</v>
      </c>
      <c r="AG564">
        <f>ROW()</f>
        <v>564</v>
      </c>
    </row>
    <row r="565" spans="24:33" hidden="1" x14ac:dyDescent="0.25">
      <c r="X565">
        <v>4</v>
      </c>
      <c r="Y565" t="s">
        <v>709</v>
      </c>
      <c r="Z565" t="s">
        <v>192</v>
      </c>
      <c r="AA565" t="str">
        <f>IF(OR(VLOOKUP(Table1[[#This Row],[sheet]],Prg!$A$7:$F$31,6,FALSE)=Prg!$O$2,VLOOKUP(Table1[[#This Row],[sheet]],Prg!$A$7:$F$31,6,FALSE)=Prg!$O$3),"Yes","No")</f>
        <v>Yes</v>
      </c>
      <c r="AB565">
        <v>2022</v>
      </c>
      <c r="AC565">
        <v>15</v>
      </c>
      <c r="AD565">
        <f ca="1">IF(ISERROR(VLOOKUP(Table1[[#This Row],[item]],INDIRECT("'"&amp;Table1[[#This Row],[sheet]]&amp;"'!$A$8:$T$42"),Table1[[#This Row],[r]],FALSE)),"",VLOOKUP(Table1[[#This Row],[item]],INDIRECT("'"&amp;Table1[[#This Row],[sheet]]&amp;"'!$A$8:$T$42"),Table1[[#This Row],[r]],FALSE))</f>
        <v>93446.922114383138</v>
      </c>
      <c r="AE565">
        <f>IF(VLOOKUP(Table1[[#This Row],[sheet]],Prg!$A$7:$J$31,10,FALSE)="","",VLOOKUP(Table1[[#This Row],[sheet]],Prg!$A$7:$J$31,10,FALSE)*1)</f>
        <v>1</v>
      </c>
      <c r="AF565" t="str">
        <f>VLOOKUP(Table1[[#This Row],[sheet]],Prg!$A$7:$J$31,5,FALSE)</f>
        <v>MALI REP</v>
      </c>
      <c r="AG565">
        <f>ROW()</f>
        <v>565</v>
      </c>
    </row>
    <row r="566" spans="24:33" hidden="1" x14ac:dyDescent="0.25">
      <c r="X566">
        <v>4</v>
      </c>
      <c r="Y566" t="s">
        <v>774</v>
      </c>
      <c r="Z566" t="s">
        <v>194</v>
      </c>
      <c r="AA566" t="str">
        <f>IF(OR(VLOOKUP(Table1[[#This Row],[sheet]],Prg!$A$7:$F$31,6,FALSE)=Prg!$O$2,VLOOKUP(Table1[[#This Row],[sheet]],Prg!$A$7:$F$31,6,FALSE)=Prg!$O$3),"Yes","No")</f>
        <v>Yes</v>
      </c>
      <c r="AB566">
        <v>2022</v>
      </c>
      <c r="AC566">
        <v>15</v>
      </c>
      <c r="AD566">
        <f ca="1">IF(ISERROR(VLOOKUP(Table1[[#This Row],[item]],INDIRECT("'"&amp;Table1[[#This Row],[sheet]]&amp;"'!$A$8:$T$42"),Table1[[#This Row],[r]],FALSE)),"",VLOOKUP(Table1[[#This Row],[item]],INDIRECT("'"&amp;Table1[[#This Row],[sheet]]&amp;"'!$A$8:$T$42"),Table1[[#This Row],[r]],FALSE))</f>
        <v>35065.014952204168</v>
      </c>
      <c r="AE566">
        <f>IF(VLOOKUP(Table1[[#This Row],[sheet]],Prg!$A$7:$J$31,10,FALSE)="","",VLOOKUP(Table1[[#This Row],[sheet]],Prg!$A$7:$J$31,10,FALSE)*1)</f>
        <v>1</v>
      </c>
      <c r="AF566" t="str">
        <f>VLOOKUP(Table1[[#This Row],[sheet]],Prg!$A$7:$J$31,5,FALSE)</f>
        <v>MALI REP</v>
      </c>
      <c r="AG566">
        <f>ROW()</f>
        <v>566</v>
      </c>
    </row>
    <row r="567" spans="24:33" hidden="1" x14ac:dyDescent="0.25">
      <c r="X567">
        <v>4</v>
      </c>
      <c r="Y567" t="s">
        <v>775</v>
      </c>
      <c r="Z567" t="s">
        <v>196</v>
      </c>
      <c r="AA567" t="str">
        <f>IF(OR(VLOOKUP(Table1[[#This Row],[sheet]],Prg!$A$7:$F$31,6,FALSE)=Prg!$O$2,VLOOKUP(Table1[[#This Row],[sheet]],Prg!$A$7:$F$31,6,FALSE)=Prg!$O$3),"Yes","No")</f>
        <v>Yes</v>
      </c>
      <c r="AB567">
        <v>2022</v>
      </c>
      <c r="AC567">
        <v>15</v>
      </c>
      <c r="AD567">
        <f ca="1">IF(ISERROR(VLOOKUP(Table1[[#This Row],[item]],INDIRECT("'"&amp;Table1[[#This Row],[sheet]]&amp;"'!$A$8:$T$42"),Table1[[#This Row],[r]],FALSE)),"",VLOOKUP(Table1[[#This Row],[item]],INDIRECT("'"&amp;Table1[[#This Row],[sheet]]&amp;"'!$A$8:$T$42"),Table1[[#This Row],[r]],FALSE))</f>
        <v>23080.954416510354</v>
      </c>
      <c r="AE567">
        <f>IF(VLOOKUP(Table1[[#This Row],[sheet]],Prg!$A$7:$J$31,10,FALSE)="","",VLOOKUP(Table1[[#This Row],[sheet]],Prg!$A$7:$J$31,10,FALSE)*1)</f>
        <v>1</v>
      </c>
      <c r="AF567" t="str">
        <f>VLOOKUP(Table1[[#This Row],[sheet]],Prg!$A$7:$J$31,5,FALSE)</f>
        <v>MALI REP</v>
      </c>
      <c r="AG567">
        <f>ROW()</f>
        <v>567</v>
      </c>
    </row>
    <row r="568" spans="24:33" hidden="1" x14ac:dyDescent="0.25">
      <c r="X568">
        <v>4</v>
      </c>
      <c r="Y568" t="s">
        <v>776</v>
      </c>
      <c r="Z568" t="s">
        <v>605</v>
      </c>
      <c r="AA568" t="str">
        <f>IF(OR(VLOOKUP(Table1[[#This Row],[sheet]],Prg!$A$7:$F$31,6,FALSE)=Prg!$O$2,VLOOKUP(Table1[[#This Row],[sheet]],Prg!$A$7:$F$31,6,FALSE)=Prg!$O$3),"Yes","No")</f>
        <v>Yes</v>
      </c>
      <c r="AB568">
        <v>2022</v>
      </c>
      <c r="AC568">
        <v>15</v>
      </c>
      <c r="AD568">
        <f ca="1">IF(ISERROR(VLOOKUP(Table1[[#This Row],[item]],INDIRECT("'"&amp;Table1[[#This Row],[sheet]]&amp;"'!$A$8:$T$42"),Table1[[#This Row],[r]],FALSE)),"",VLOOKUP(Table1[[#This Row],[item]],INDIRECT("'"&amp;Table1[[#This Row],[sheet]]&amp;"'!$A$8:$T$42"),Table1[[#This Row],[r]],FALSE))</f>
        <v>35300.952745668612</v>
      </c>
      <c r="AE568">
        <f>IF(VLOOKUP(Table1[[#This Row],[sheet]],Prg!$A$7:$J$31,10,FALSE)="","",VLOOKUP(Table1[[#This Row],[sheet]],Prg!$A$7:$J$31,10,FALSE)*1)</f>
        <v>1</v>
      </c>
      <c r="AF568" t="str">
        <f>VLOOKUP(Table1[[#This Row],[sheet]],Prg!$A$7:$J$31,5,FALSE)</f>
        <v>MALI REP</v>
      </c>
      <c r="AG568">
        <f>ROW()</f>
        <v>568</v>
      </c>
    </row>
    <row r="569" spans="24:33" hidden="1" x14ac:dyDescent="0.25">
      <c r="X569">
        <v>4</v>
      </c>
      <c r="Y569" t="s">
        <v>711</v>
      </c>
      <c r="Z569" t="s">
        <v>200</v>
      </c>
      <c r="AA569" t="str">
        <f>IF(OR(VLOOKUP(Table1[[#This Row],[sheet]],Prg!$A$7:$F$31,6,FALSE)=Prg!$O$2,VLOOKUP(Table1[[#This Row],[sheet]],Prg!$A$7:$F$31,6,FALSE)=Prg!$O$3),"Yes","No")</f>
        <v>Yes</v>
      </c>
      <c r="AB569">
        <v>2022</v>
      </c>
      <c r="AC569">
        <v>15</v>
      </c>
      <c r="AD569">
        <f ca="1">IF(ISERROR(VLOOKUP(Table1[[#This Row],[item]],INDIRECT("'"&amp;Table1[[#This Row],[sheet]]&amp;"'!$A$8:$T$42"),Table1[[#This Row],[r]],FALSE)),"",VLOOKUP(Table1[[#This Row],[item]],INDIRECT("'"&amp;Table1[[#This Row],[sheet]]&amp;"'!$A$8:$T$42"),Table1[[#This Row],[r]],FALSE))</f>
        <v>245334.5</v>
      </c>
      <c r="AE569">
        <f>IF(VLOOKUP(Table1[[#This Row],[sheet]],Prg!$A$7:$J$31,10,FALSE)="","",VLOOKUP(Table1[[#This Row],[sheet]],Prg!$A$7:$J$31,10,FALSE)*1)</f>
        <v>1</v>
      </c>
      <c r="AF569" t="str">
        <f>VLOOKUP(Table1[[#This Row],[sheet]],Prg!$A$7:$J$31,5,FALSE)</f>
        <v>MALI REP</v>
      </c>
      <c r="AG569">
        <f>ROW()</f>
        <v>569</v>
      </c>
    </row>
    <row r="570" spans="24:33" hidden="1" x14ac:dyDescent="0.25">
      <c r="X570">
        <v>4</v>
      </c>
      <c r="Y570" t="s">
        <v>777</v>
      </c>
      <c r="Z570" t="s">
        <v>202</v>
      </c>
      <c r="AA570" t="str">
        <f>IF(OR(VLOOKUP(Table1[[#This Row],[sheet]],Prg!$A$7:$F$31,6,FALSE)=Prg!$O$2,VLOOKUP(Table1[[#This Row],[sheet]],Prg!$A$7:$F$31,6,FALSE)=Prg!$O$3),"Yes","No")</f>
        <v>Yes</v>
      </c>
      <c r="AB570">
        <v>2022</v>
      </c>
      <c r="AC570">
        <v>15</v>
      </c>
      <c r="AD570">
        <f ca="1">IF(ISERROR(VLOOKUP(Table1[[#This Row],[item]],INDIRECT("'"&amp;Table1[[#This Row],[sheet]]&amp;"'!$A$8:$T$42"),Table1[[#This Row],[r]],FALSE)),"",VLOOKUP(Table1[[#This Row],[item]],INDIRECT("'"&amp;Table1[[#This Row],[sheet]]&amp;"'!$A$8:$T$42"),Table1[[#This Row],[r]],FALSE))</f>
        <v>7425.49</v>
      </c>
      <c r="AE570">
        <f>IF(VLOOKUP(Table1[[#This Row],[sheet]],Prg!$A$7:$J$31,10,FALSE)="","",VLOOKUP(Table1[[#This Row],[sheet]],Prg!$A$7:$J$31,10,FALSE)*1)</f>
        <v>1</v>
      </c>
      <c r="AF570" t="str">
        <f>VLOOKUP(Table1[[#This Row],[sheet]],Prg!$A$7:$J$31,5,FALSE)</f>
        <v>MALI REP</v>
      </c>
      <c r="AG570">
        <f>ROW()</f>
        <v>570</v>
      </c>
    </row>
    <row r="571" spans="24:33" hidden="1" x14ac:dyDescent="0.25">
      <c r="X571">
        <v>4</v>
      </c>
      <c r="Y571" t="s">
        <v>778</v>
      </c>
      <c r="Z571" t="s">
        <v>204</v>
      </c>
      <c r="AA571" t="str">
        <f>IF(OR(VLOOKUP(Table1[[#This Row],[sheet]],Prg!$A$7:$F$31,6,FALSE)=Prg!$O$2,VLOOKUP(Table1[[#This Row],[sheet]],Prg!$A$7:$F$31,6,FALSE)=Prg!$O$3),"Yes","No")</f>
        <v>Yes</v>
      </c>
      <c r="AB571">
        <v>2022</v>
      </c>
      <c r="AC571">
        <v>15</v>
      </c>
      <c r="AD571">
        <f ca="1">IF(ISERROR(VLOOKUP(Table1[[#This Row],[item]],INDIRECT("'"&amp;Table1[[#This Row],[sheet]]&amp;"'!$A$8:$T$42"),Table1[[#This Row],[r]],FALSE)),"",VLOOKUP(Table1[[#This Row],[item]],INDIRECT("'"&amp;Table1[[#This Row],[sheet]]&amp;"'!$A$8:$T$42"),Table1[[#This Row],[r]],FALSE))</f>
        <v>11818.48</v>
      </c>
      <c r="AE571">
        <f>IF(VLOOKUP(Table1[[#This Row],[sheet]],Prg!$A$7:$J$31,10,FALSE)="","",VLOOKUP(Table1[[#This Row],[sheet]],Prg!$A$7:$J$31,10,FALSE)*1)</f>
        <v>1</v>
      </c>
      <c r="AF571" t="str">
        <f>VLOOKUP(Table1[[#This Row],[sheet]],Prg!$A$7:$J$31,5,FALSE)</f>
        <v>MALI REP</v>
      </c>
      <c r="AG571">
        <f>ROW()</f>
        <v>571</v>
      </c>
    </row>
    <row r="572" spans="24:33" hidden="1" x14ac:dyDescent="0.25">
      <c r="X572">
        <v>4</v>
      </c>
      <c r="Y572" t="s">
        <v>779</v>
      </c>
      <c r="Z572" t="s">
        <v>605</v>
      </c>
      <c r="AA572" t="str">
        <f>IF(OR(VLOOKUP(Table1[[#This Row],[sheet]],Prg!$A$7:$F$31,6,FALSE)=Prg!$O$2,VLOOKUP(Table1[[#This Row],[sheet]],Prg!$A$7:$F$31,6,FALSE)=Prg!$O$3),"Yes","No")</f>
        <v>Yes</v>
      </c>
      <c r="AB572">
        <v>2022</v>
      </c>
      <c r="AC572">
        <v>15</v>
      </c>
      <c r="AD572">
        <f ca="1">IF(ISERROR(VLOOKUP(Table1[[#This Row],[item]],INDIRECT("'"&amp;Table1[[#This Row],[sheet]]&amp;"'!$A$8:$T$42"),Table1[[#This Row],[r]],FALSE)),"",VLOOKUP(Table1[[#This Row],[item]],INDIRECT("'"&amp;Table1[[#This Row],[sheet]]&amp;"'!$A$8:$T$42"),Table1[[#This Row],[r]],FALSE))</f>
        <v>226090.53</v>
      </c>
      <c r="AE572">
        <f>IF(VLOOKUP(Table1[[#This Row],[sheet]],Prg!$A$7:$J$31,10,FALSE)="","",VLOOKUP(Table1[[#This Row],[sheet]],Prg!$A$7:$J$31,10,FALSE)*1)</f>
        <v>1</v>
      </c>
      <c r="AF572" t="str">
        <f>VLOOKUP(Table1[[#This Row],[sheet]],Prg!$A$7:$J$31,5,FALSE)</f>
        <v>MALI REP</v>
      </c>
      <c r="AG572">
        <f>ROW()</f>
        <v>572</v>
      </c>
    </row>
    <row r="573" spans="24:33" hidden="1" x14ac:dyDescent="0.25">
      <c r="X573">
        <v>4</v>
      </c>
      <c r="Y573" t="s">
        <v>712</v>
      </c>
      <c r="Z573" t="s">
        <v>780</v>
      </c>
      <c r="AA573" t="str">
        <f>IF(OR(VLOOKUP(Table1[[#This Row],[sheet]],Prg!$A$7:$F$31,6,FALSE)=Prg!$O$2,VLOOKUP(Table1[[#This Row],[sheet]],Prg!$A$7:$F$31,6,FALSE)=Prg!$O$3),"Yes","No")</f>
        <v>Yes</v>
      </c>
      <c r="AB573">
        <v>2022</v>
      </c>
      <c r="AC573">
        <v>15</v>
      </c>
      <c r="AD573">
        <f ca="1">IF(ISERROR(VLOOKUP(Table1[[#This Row],[item]],INDIRECT("'"&amp;Table1[[#This Row],[sheet]]&amp;"'!$A$8:$T$42"),Table1[[#This Row],[r]],FALSE)),"",VLOOKUP(Table1[[#This Row],[item]],INDIRECT("'"&amp;Table1[[#This Row],[sheet]]&amp;"'!$A$8:$T$42"),Table1[[#This Row],[r]],FALSE))</f>
        <v>199654.45895217487</v>
      </c>
      <c r="AE573">
        <f>IF(VLOOKUP(Table1[[#This Row],[sheet]],Prg!$A$7:$J$31,10,FALSE)="","",VLOOKUP(Table1[[#This Row],[sheet]],Prg!$A$7:$J$31,10,FALSE)*1)</f>
        <v>1</v>
      </c>
      <c r="AF573" t="str">
        <f>VLOOKUP(Table1[[#This Row],[sheet]],Prg!$A$7:$J$31,5,FALSE)</f>
        <v>MALI REP</v>
      </c>
      <c r="AG573">
        <f>ROW()</f>
        <v>573</v>
      </c>
    </row>
    <row r="574" spans="24:33" hidden="1" x14ac:dyDescent="0.25">
      <c r="X574">
        <v>4</v>
      </c>
      <c r="Y574" t="s">
        <v>781</v>
      </c>
      <c r="Z574" t="s">
        <v>782</v>
      </c>
      <c r="AA574" t="str">
        <f>IF(OR(VLOOKUP(Table1[[#This Row],[sheet]],Prg!$A$7:$F$31,6,FALSE)=Prg!$O$2,VLOOKUP(Table1[[#This Row],[sheet]],Prg!$A$7:$F$31,6,FALSE)=Prg!$O$3),"Yes","No")</f>
        <v>Yes</v>
      </c>
      <c r="AB574">
        <v>2022</v>
      </c>
      <c r="AC574">
        <v>15</v>
      </c>
      <c r="AD574">
        <f ca="1">IF(ISERROR(VLOOKUP(Table1[[#This Row],[item]],INDIRECT("'"&amp;Table1[[#This Row],[sheet]]&amp;"'!$A$8:$T$42"),Table1[[#This Row],[r]],FALSE)),"",VLOOKUP(Table1[[#This Row],[item]],INDIRECT("'"&amp;Table1[[#This Row],[sheet]]&amp;"'!$A$8:$T$42"),Table1[[#This Row],[r]],FALSE))</f>
        <v>0</v>
      </c>
      <c r="AE574">
        <f>IF(VLOOKUP(Table1[[#This Row],[sheet]],Prg!$A$7:$J$31,10,FALSE)="","",VLOOKUP(Table1[[#This Row],[sheet]],Prg!$A$7:$J$31,10,FALSE)*1)</f>
        <v>1</v>
      </c>
      <c r="AF574" t="str">
        <f>VLOOKUP(Table1[[#This Row],[sheet]],Prg!$A$7:$J$31,5,FALSE)</f>
        <v>MALI REP</v>
      </c>
      <c r="AG574">
        <f>ROW()</f>
        <v>574</v>
      </c>
    </row>
    <row r="575" spans="24:33" hidden="1" x14ac:dyDescent="0.25">
      <c r="X575">
        <v>4</v>
      </c>
      <c r="Y575" t="s">
        <v>783</v>
      </c>
      <c r="Z575" t="s">
        <v>784</v>
      </c>
      <c r="AA575" t="str">
        <f>IF(OR(VLOOKUP(Table1[[#This Row],[sheet]],Prg!$A$7:$F$31,6,FALSE)=Prg!$O$2,VLOOKUP(Table1[[#This Row],[sheet]],Prg!$A$7:$F$31,6,FALSE)=Prg!$O$3),"Yes","No")</f>
        <v>Yes</v>
      </c>
      <c r="AB575">
        <v>2022</v>
      </c>
      <c r="AC575">
        <v>15</v>
      </c>
      <c r="AD575">
        <f ca="1">IF(ISERROR(VLOOKUP(Table1[[#This Row],[item]],INDIRECT("'"&amp;Table1[[#This Row],[sheet]]&amp;"'!$A$8:$T$42"),Table1[[#This Row],[r]],FALSE)),"",VLOOKUP(Table1[[#This Row],[item]],INDIRECT("'"&amp;Table1[[#This Row],[sheet]]&amp;"'!$A$8:$T$42"),Table1[[#This Row],[r]],FALSE))</f>
        <v>0</v>
      </c>
      <c r="AE575">
        <f>IF(VLOOKUP(Table1[[#This Row],[sheet]],Prg!$A$7:$J$31,10,FALSE)="","",VLOOKUP(Table1[[#This Row],[sheet]],Prg!$A$7:$J$31,10,FALSE)*1)</f>
        <v>1</v>
      </c>
      <c r="AF575" t="str">
        <f>VLOOKUP(Table1[[#This Row],[sheet]],Prg!$A$7:$J$31,5,FALSE)</f>
        <v>MALI REP</v>
      </c>
      <c r="AG575">
        <f>ROW()</f>
        <v>575</v>
      </c>
    </row>
    <row r="576" spans="24:33" hidden="1" x14ac:dyDescent="0.25">
      <c r="X576">
        <v>4</v>
      </c>
      <c r="Y576" t="s">
        <v>785</v>
      </c>
      <c r="Z576" t="s">
        <v>786</v>
      </c>
      <c r="AA576" t="str">
        <f>IF(OR(VLOOKUP(Table1[[#This Row],[sheet]],Prg!$A$7:$F$31,6,FALSE)=Prg!$O$2,VLOOKUP(Table1[[#This Row],[sheet]],Prg!$A$7:$F$31,6,FALSE)=Prg!$O$3),"Yes","No")</f>
        <v>Yes</v>
      </c>
      <c r="AB576">
        <v>2022</v>
      </c>
      <c r="AC576">
        <v>15</v>
      </c>
      <c r="AD576">
        <f ca="1">IF(ISERROR(VLOOKUP(Table1[[#This Row],[item]],INDIRECT("'"&amp;Table1[[#This Row],[sheet]]&amp;"'!$A$8:$T$42"),Table1[[#This Row],[r]],FALSE)),"",VLOOKUP(Table1[[#This Row],[item]],INDIRECT("'"&amp;Table1[[#This Row],[sheet]]&amp;"'!$A$8:$T$42"),Table1[[#This Row],[r]],FALSE))</f>
        <v>199654.45895217487</v>
      </c>
      <c r="AE576">
        <f>IF(VLOOKUP(Table1[[#This Row],[sheet]],Prg!$A$7:$J$31,10,FALSE)="","",VLOOKUP(Table1[[#This Row],[sheet]],Prg!$A$7:$J$31,10,FALSE)*1)</f>
        <v>1</v>
      </c>
      <c r="AF576" t="str">
        <f>VLOOKUP(Table1[[#This Row],[sheet]],Prg!$A$7:$J$31,5,FALSE)</f>
        <v>MALI REP</v>
      </c>
      <c r="AG576">
        <f>ROW()</f>
        <v>576</v>
      </c>
    </row>
    <row r="577" spans="24:33" hidden="1" x14ac:dyDescent="0.25">
      <c r="X577">
        <v>4</v>
      </c>
      <c r="Y577" t="s">
        <v>787</v>
      </c>
      <c r="Z577" t="s">
        <v>633</v>
      </c>
      <c r="AA577" t="str">
        <f>IF(OR(VLOOKUP(Table1[[#This Row],[sheet]],Prg!$A$7:$F$31,6,FALSE)=Prg!$O$2,VLOOKUP(Table1[[#This Row],[sheet]],Prg!$A$7:$F$31,6,FALSE)=Prg!$O$3),"Yes","No")</f>
        <v>Yes</v>
      </c>
      <c r="AB577">
        <v>2022</v>
      </c>
      <c r="AC577">
        <v>15</v>
      </c>
      <c r="AD577">
        <f ca="1">IF(ISERROR(VLOOKUP(Table1[[#This Row],[item]],INDIRECT("'"&amp;Table1[[#This Row],[sheet]]&amp;"'!$A$8:$T$42"),Table1[[#This Row],[r]],FALSE)),"",VLOOKUP(Table1[[#This Row],[item]],INDIRECT("'"&amp;Table1[[#This Row],[sheet]]&amp;"'!$A$8:$T$42"),Table1[[#This Row],[r]],FALSE))</f>
        <v>0</v>
      </c>
      <c r="AE577">
        <f>IF(VLOOKUP(Table1[[#This Row],[sheet]],Prg!$A$7:$J$31,10,FALSE)="","",VLOOKUP(Table1[[#This Row],[sheet]],Prg!$A$7:$J$31,10,FALSE)*1)</f>
        <v>1</v>
      </c>
      <c r="AF577" t="str">
        <f>VLOOKUP(Table1[[#This Row],[sheet]],Prg!$A$7:$J$31,5,FALSE)</f>
        <v>MALI REP</v>
      </c>
      <c r="AG577">
        <f>ROW()</f>
        <v>577</v>
      </c>
    </row>
    <row r="578" spans="24:33" hidden="1" x14ac:dyDescent="0.25">
      <c r="X578">
        <v>4</v>
      </c>
      <c r="Y578" s="53" t="s">
        <v>753</v>
      </c>
      <c r="Z578" s="53" t="s">
        <v>162</v>
      </c>
      <c r="AA578" s="53" t="str">
        <f>IF(OR(VLOOKUP(Table1[[#This Row],[sheet]],Prg!$A$7:$F$31,6,FALSE)=Prg!$O$2,VLOOKUP(Table1[[#This Row],[sheet]],Prg!$A$7:$F$31,6,FALSE)=Prg!$O$3),"Yes","No")</f>
        <v>Yes</v>
      </c>
      <c r="AB578" s="53">
        <v>2023</v>
      </c>
      <c r="AC578">
        <v>16</v>
      </c>
      <c r="AD578">
        <f ca="1">IF(ISERROR(VLOOKUP(Table1[[#This Row],[item]],INDIRECT("'"&amp;Table1[[#This Row],[sheet]]&amp;"'!$A$8:$T$42"),Table1[[#This Row],[r]],FALSE)),"",VLOOKUP(Table1[[#This Row],[item]],INDIRECT("'"&amp;Table1[[#This Row],[sheet]]&amp;"'!$A$8:$T$42"),Table1[[#This Row],[r]],FALSE))</f>
        <v>540608.34678798355</v>
      </c>
      <c r="AE578">
        <f>IF(VLOOKUP(Table1[[#This Row],[sheet]],Prg!$A$7:$J$31,10,FALSE)="","",VLOOKUP(Table1[[#This Row],[sheet]],Prg!$A$7:$J$31,10,FALSE)*1)</f>
        <v>1</v>
      </c>
      <c r="AF578" t="str">
        <f>VLOOKUP(Table1[[#This Row],[sheet]],Prg!$A$7:$J$31,5,FALSE)</f>
        <v>MALI REP</v>
      </c>
      <c r="AG578">
        <f>ROW()</f>
        <v>578</v>
      </c>
    </row>
    <row r="579" spans="24:33" hidden="1" x14ac:dyDescent="0.25">
      <c r="X579">
        <v>4</v>
      </c>
      <c r="Y579" t="s">
        <v>754</v>
      </c>
      <c r="Z579" t="s">
        <v>164</v>
      </c>
      <c r="AA579" t="str">
        <f>IF(OR(VLOOKUP(Table1[[#This Row],[sheet]],Prg!$A$7:$F$31,6,FALSE)=Prg!$O$2,VLOOKUP(Table1[[#This Row],[sheet]],Prg!$A$7:$F$31,6,FALSE)=Prg!$O$3),"Yes","No")</f>
        <v>Yes</v>
      </c>
      <c r="AB579">
        <v>2023</v>
      </c>
      <c r="AC579">
        <v>16</v>
      </c>
      <c r="AD579">
        <f ca="1">IF(ISERROR(VLOOKUP(Table1[[#This Row],[item]],INDIRECT("'"&amp;Table1[[#This Row],[sheet]]&amp;"'!$A$8:$T$42"),Table1[[#This Row],[r]],FALSE)),"",VLOOKUP(Table1[[#This Row],[item]],INDIRECT("'"&amp;Table1[[#This Row],[sheet]]&amp;"'!$A$8:$T$42"),Table1[[#This Row],[r]],FALSE))</f>
        <v>28203.076787983598</v>
      </c>
      <c r="AE579">
        <f>IF(VLOOKUP(Table1[[#This Row],[sheet]],Prg!$A$7:$J$31,10,FALSE)="","",VLOOKUP(Table1[[#This Row],[sheet]],Prg!$A$7:$J$31,10,FALSE)*1)</f>
        <v>1</v>
      </c>
      <c r="AF579" t="str">
        <f>VLOOKUP(Table1[[#This Row],[sheet]],Prg!$A$7:$J$31,5,FALSE)</f>
        <v>MALI REP</v>
      </c>
      <c r="AG579">
        <f>ROW()</f>
        <v>579</v>
      </c>
    </row>
    <row r="580" spans="24:33" hidden="1" x14ac:dyDescent="0.25">
      <c r="X580">
        <v>4</v>
      </c>
      <c r="Y580" t="s">
        <v>755</v>
      </c>
      <c r="Z580" t="s">
        <v>166</v>
      </c>
      <c r="AA580" t="str">
        <f>IF(OR(VLOOKUP(Table1[[#This Row],[sheet]],Prg!$A$7:$F$31,6,FALSE)=Prg!$O$2,VLOOKUP(Table1[[#This Row],[sheet]],Prg!$A$7:$F$31,6,FALSE)=Prg!$O$3),"Yes","No")</f>
        <v>Yes</v>
      </c>
      <c r="AB580">
        <v>2023</v>
      </c>
      <c r="AC580">
        <v>16</v>
      </c>
      <c r="AD580">
        <f ca="1">IF(ISERROR(VLOOKUP(Table1[[#This Row],[item]],INDIRECT("'"&amp;Table1[[#This Row],[sheet]]&amp;"'!$A$8:$T$42"),Table1[[#This Row],[r]],FALSE)),"",VLOOKUP(Table1[[#This Row],[item]],INDIRECT("'"&amp;Table1[[#This Row],[sheet]]&amp;"'!$A$8:$T$42"),Table1[[#This Row],[r]],FALSE))</f>
        <v>425860.1</v>
      </c>
      <c r="AE580">
        <f>IF(VLOOKUP(Table1[[#This Row],[sheet]],Prg!$A$7:$J$31,10,FALSE)="","",VLOOKUP(Table1[[#This Row],[sheet]],Prg!$A$7:$J$31,10,FALSE)*1)</f>
        <v>1</v>
      </c>
      <c r="AF580" t="str">
        <f>VLOOKUP(Table1[[#This Row],[sheet]],Prg!$A$7:$J$31,5,FALSE)</f>
        <v>MALI REP</v>
      </c>
      <c r="AG580">
        <f>ROW()</f>
        <v>580</v>
      </c>
    </row>
    <row r="581" spans="24:33" hidden="1" x14ac:dyDescent="0.25">
      <c r="X581">
        <v>4</v>
      </c>
      <c r="Y581" t="s">
        <v>756</v>
      </c>
      <c r="Z581" t="s">
        <v>757</v>
      </c>
      <c r="AA581" t="str">
        <f>IF(OR(VLOOKUP(Table1[[#This Row],[sheet]],Prg!$A$7:$F$31,6,FALSE)=Prg!$O$2,VLOOKUP(Table1[[#This Row],[sheet]],Prg!$A$7:$F$31,6,FALSE)=Prg!$O$3),"Yes","No")</f>
        <v>Yes</v>
      </c>
      <c r="AB581">
        <v>2023</v>
      </c>
      <c r="AC581">
        <v>16</v>
      </c>
      <c r="AD581">
        <f ca="1">IF(ISERROR(VLOOKUP(Table1[[#This Row],[item]],INDIRECT("'"&amp;Table1[[#This Row],[sheet]]&amp;"'!$A$8:$T$42"),Table1[[#This Row],[r]],FALSE)),"",VLOOKUP(Table1[[#This Row],[item]],INDIRECT("'"&amp;Table1[[#This Row],[sheet]]&amp;"'!$A$8:$T$42"),Table1[[#This Row],[r]],FALSE))</f>
        <v>86545.17</v>
      </c>
      <c r="AE581">
        <f>IF(VLOOKUP(Table1[[#This Row],[sheet]],Prg!$A$7:$J$31,10,FALSE)="","",VLOOKUP(Table1[[#This Row],[sheet]],Prg!$A$7:$J$31,10,FALSE)*1)</f>
        <v>1</v>
      </c>
      <c r="AF581" t="str">
        <f>VLOOKUP(Table1[[#This Row],[sheet]],Prg!$A$7:$J$31,5,FALSE)</f>
        <v>MALI REP</v>
      </c>
      <c r="AG581">
        <f>ROW()</f>
        <v>581</v>
      </c>
    </row>
    <row r="582" spans="24:33" hidden="1" x14ac:dyDescent="0.25">
      <c r="X582">
        <v>4</v>
      </c>
      <c r="Y582" t="s">
        <v>758</v>
      </c>
      <c r="Z582" t="s">
        <v>170</v>
      </c>
      <c r="AA582" t="str">
        <f>IF(OR(VLOOKUP(Table1[[#This Row],[sheet]],Prg!$A$7:$F$31,6,FALSE)=Prg!$O$2,VLOOKUP(Table1[[#This Row],[sheet]],Prg!$A$7:$F$31,6,FALSE)=Prg!$O$3),"Yes","No")</f>
        <v>Yes</v>
      </c>
      <c r="AB582">
        <v>2023</v>
      </c>
      <c r="AC582">
        <v>16</v>
      </c>
      <c r="AD582">
        <f ca="1">IF(ISERROR(VLOOKUP(Table1[[#This Row],[item]],INDIRECT("'"&amp;Table1[[#This Row],[sheet]]&amp;"'!$A$8:$T$42"),Table1[[#This Row],[r]],FALSE)),"",VLOOKUP(Table1[[#This Row],[item]],INDIRECT("'"&amp;Table1[[#This Row],[sheet]]&amp;"'!$A$8:$T$42"),Table1[[#This Row],[r]],FALSE))</f>
        <v>21477.17</v>
      </c>
      <c r="AE582">
        <f>IF(VLOOKUP(Table1[[#This Row],[sheet]],Prg!$A$7:$J$31,10,FALSE)="","",VLOOKUP(Table1[[#This Row],[sheet]],Prg!$A$7:$J$31,10,FALSE)*1)</f>
        <v>1</v>
      </c>
      <c r="AF582" t="str">
        <f>VLOOKUP(Table1[[#This Row],[sheet]],Prg!$A$7:$J$31,5,FALSE)</f>
        <v>MALI REP</v>
      </c>
      <c r="AG582">
        <f>ROW()</f>
        <v>582</v>
      </c>
    </row>
    <row r="583" spans="24:33" hidden="1" x14ac:dyDescent="0.25">
      <c r="X583">
        <v>4</v>
      </c>
      <c r="Y583" t="s">
        <v>759</v>
      </c>
      <c r="Z583" t="s">
        <v>172</v>
      </c>
      <c r="AA583" t="str">
        <f>IF(OR(VLOOKUP(Table1[[#This Row],[sheet]],Prg!$A$7:$F$31,6,FALSE)=Prg!$O$2,VLOOKUP(Table1[[#This Row],[sheet]],Prg!$A$7:$F$31,6,FALSE)=Prg!$O$3),"Yes","No")</f>
        <v>Yes</v>
      </c>
      <c r="AB583">
        <v>2023</v>
      </c>
      <c r="AC583">
        <v>16</v>
      </c>
      <c r="AD583">
        <f ca="1">IF(ISERROR(VLOOKUP(Table1[[#This Row],[item]],INDIRECT("'"&amp;Table1[[#This Row],[sheet]]&amp;"'!$A$8:$T$42"),Table1[[#This Row],[r]],FALSE)),"",VLOOKUP(Table1[[#This Row],[item]],INDIRECT("'"&amp;Table1[[#This Row],[sheet]]&amp;"'!$A$8:$T$42"),Table1[[#This Row],[r]],FALSE))</f>
        <v>0</v>
      </c>
      <c r="AE583">
        <f>IF(VLOOKUP(Table1[[#This Row],[sheet]],Prg!$A$7:$J$31,10,FALSE)="","",VLOOKUP(Table1[[#This Row],[sheet]],Prg!$A$7:$J$31,10,FALSE)*1)</f>
        <v>1</v>
      </c>
      <c r="AF583" t="str">
        <f>VLOOKUP(Table1[[#This Row],[sheet]],Prg!$A$7:$J$31,5,FALSE)</f>
        <v>MALI REP</v>
      </c>
      <c r="AG583">
        <f>ROW()</f>
        <v>583</v>
      </c>
    </row>
    <row r="584" spans="24:33" hidden="1" x14ac:dyDescent="0.25">
      <c r="X584">
        <v>4</v>
      </c>
      <c r="Y584" t="s">
        <v>760</v>
      </c>
      <c r="Z584" t="s">
        <v>174</v>
      </c>
      <c r="AA584" t="str">
        <f>IF(OR(VLOOKUP(Table1[[#This Row],[sheet]],Prg!$A$7:$F$31,6,FALSE)=Prg!$O$2,VLOOKUP(Table1[[#This Row],[sheet]],Prg!$A$7:$F$31,6,FALSE)=Prg!$O$3),"Yes","No")</f>
        <v>Yes</v>
      </c>
      <c r="AB584">
        <v>2023</v>
      </c>
      <c r="AC584">
        <v>16</v>
      </c>
      <c r="AD584">
        <f ca="1">IF(ISERROR(VLOOKUP(Table1[[#This Row],[item]],INDIRECT("'"&amp;Table1[[#This Row],[sheet]]&amp;"'!$A$8:$T$42"),Table1[[#This Row],[r]],FALSE)),"",VLOOKUP(Table1[[#This Row],[item]],INDIRECT("'"&amp;Table1[[#This Row],[sheet]]&amp;"'!$A$8:$T$42"),Table1[[#This Row],[r]],FALSE))</f>
        <v>21477.17</v>
      </c>
      <c r="AE584">
        <f>IF(VLOOKUP(Table1[[#This Row],[sheet]],Prg!$A$7:$J$31,10,FALSE)="","",VLOOKUP(Table1[[#This Row],[sheet]],Prg!$A$7:$J$31,10,FALSE)*1)</f>
        <v>1</v>
      </c>
      <c r="AF584" t="str">
        <f>VLOOKUP(Table1[[#This Row],[sheet]],Prg!$A$7:$J$31,5,FALSE)</f>
        <v>MALI REP</v>
      </c>
      <c r="AG584">
        <f>ROW()</f>
        <v>584</v>
      </c>
    </row>
    <row r="585" spans="24:33" hidden="1" x14ac:dyDescent="0.25">
      <c r="X585">
        <v>4</v>
      </c>
      <c r="Y585" t="s">
        <v>761</v>
      </c>
      <c r="Z585" t="s">
        <v>762</v>
      </c>
      <c r="AA585" t="str">
        <f>IF(OR(VLOOKUP(Table1[[#This Row],[sheet]],Prg!$A$7:$F$31,6,FALSE)=Prg!$O$2,VLOOKUP(Table1[[#This Row],[sheet]],Prg!$A$7:$F$31,6,FALSE)=Prg!$O$3),"Yes","No")</f>
        <v>Yes</v>
      </c>
      <c r="AB585">
        <v>2023</v>
      </c>
      <c r="AC585">
        <v>16</v>
      </c>
      <c r="AD585">
        <f ca="1">IF(ISERROR(VLOOKUP(Table1[[#This Row],[item]],INDIRECT("'"&amp;Table1[[#This Row],[sheet]]&amp;"'!$A$8:$T$42"),Table1[[#This Row],[r]],FALSE)),"",VLOOKUP(Table1[[#This Row],[item]],INDIRECT("'"&amp;Table1[[#This Row],[sheet]]&amp;"'!$A$8:$T$42"),Table1[[#This Row],[r]],FALSE))</f>
        <v>0</v>
      </c>
      <c r="AE585">
        <f>IF(VLOOKUP(Table1[[#This Row],[sheet]],Prg!$A$7:$J$31,10,FALSE)="","",VLOOKUP(Table1[[#This Row],[sheet]],Prg!$A$7:$J$31,10,FALSE)*1)</f>
        <v>1</v>
      </c>
      <c r="AF585" t="str">
        <f>VLOOKUP(Table1[[#This Row],[sheet]],Prg!$A$7:$J$31,5,FALSE)</f>
        <v>MALI REP</v>
      </c>
      <c r="AG585">
        <f>ROW()</f>
        <v>585</v>
      </c>
    </row>
    <row r="586" spans="24:33" hidden="1" x14ac:dyDescent="0.25">
      <c r="X586">
        <v>4</v>
      </c>
      <c r="Y586" t="s">
        <v>763</v>
      </c>
      <c r="Z586" t="s">
        <v>178</v>
      </c>
      <c r="AA586" t="str">
        <f>IF(OR(VLOOKUP(Table1[[#This Row],[sheet]],Prg!$A$7:$F$31,6,FALSE)=Prg!$O$2,VLOOKUP(Table1[[#This Row],[sheet]],Prg!$A$7:$F$31,6,FALSE)=Prg!$O$3),"Yes","No")</f>
        <v>Yes</v>
      </c>
      <c r="AB586">
        <v>2023</v>
      </c>
      <c r="AC586">
        <v>16</v>
      </c>
      <c r="AD586">
        <f ca="1">IF(ISERROR(VLOOKUP(Table1[[#This Row],[item]],INDIRECT("'"&amp;Table1[[#This Row],[sheet]]&amp;"'!$A$8:$T$42"),Table1[[#This Row],[r]],FALSE)),"",VLOOKUP(Table1[[#This Row],[item]],INDIRECT("'"&amp;Table1[[#This Row],[sheet]]&amp;"'!$A$8:$T$42"),Table1[[#This Row],[r]],FALSE))</f>
        <v>124134.61228607738</v>
      </c>
      <c r="AE586">
        <f>IF(VLOOKUP(Table1[[#This Row],[sheet]],Prg!$A$7:$J$31,10,FALSE)="","",VLOOKUP(Table1[[#This Row],[sheet]],Prg!$A$7:$J$31,10,FALSE)*1)</f>
        <v>1</v>
      </c>
      <c r="AF586" t="str">
        <f>VLOOKUP(Table1[[#This Row],[sheet]],Prg!$A$7:$J$31,5,FALSE)</f>
        <v>MALI REP</v>
      </c>
      <c r="AG586">
        <f>ROW()</f>
        <v>586</v>
      </c>
    </row>
    <row r="587" spans="24:33" hidden="1" x14ac:dyDescent="0.25">
      <c r="X587">
        <v>4</v>
      </c>
      <c r="Y587" t="s">
        <v>764</v>
      </c>
      <c r="Z587" t="s">
        <v>109</v>
      </c>
      <c r="AA587" t="str">
        <f>IF(OR(VLOOKUP(Table1[[#This Row],[sheet]],Prg!$A$7:$F$31,6,FALSE)=Prg!$O$2,VLOOKUP(Table1[[#This Row],[sheet]],Prg!$A$7:$F$31,6,FALSE)=Prg!$O$3),"Yes","No")</f>
        <v>Yes</v>
      </c>
      <c r="AB587">
        <v>2023</v>
      </c>
      <c r="AC587">
        <v>16</v>
      </c>
      <c r="AD587">
        <f ca="1">IF(ISERROR(VLOOKUP(Table1[[#This Row],[item]],INDIRECT("'"&amp;Table1[[#This Row],[sheet]]&amp;"'!$A$8:$T$42"),Table1[[#This Row],[r]],FALSE)),"",VLOOKUP(Table1[[#This Row],[item]],INDIRECT("'"&amp;Table1[[#This Row],[sheet]]&amp;"'!$A$8:$T$42"),Table1[[#This Row],[r]],FALSE))</f>
        <v>4512.4922860773759</v>
      </c>
      <c r="AE587">
        <f>IF(VLOOKUP(Table1[[#This Row],[sheet]],Prg!$A$7:$J$31,10,FALSE)="","",VLOOKUP(Table1[[#This Row],[sheet]],Prg!$A$7:$J$31,10,FALSE)*1)</f>
        <v>1</v>
      </c>
      <c r="AF587" t="str">
        <f>VLOOKUP(Table1[[#This Row],[sheet]],Prg!$A$7:$J$31,5,FALSE)</f>
        <v>MALI REP</v>
      </c>
      <c r="AG587">
        <f>ROW()</f>
        <v>587</v>
      </c>
    </row>
    <row r="588" spans="24:33" hidden="1" x14ac:dyDescent="0.25">
      <c r="X588">
        <v>4</v>
      </c>
      <c r="Y588" t="s">
        <v>765</v>
      </c>
      <c r="Z588" t="s">
        <v>117</v>
      </c>
      <c r="AA588" t="str">
        <f>IF(OR(VLOOKUP(Table1[[#This Row],[sheet]],Prg!$A$7:$F$31,6,FALSE)=Prg!$O$2,VLOOKUP(Table1[[#This Row],[sheet]],Prg!$A$7:$F$31,6,FALSE)=Prg!$O$3),"Yes","No")</f>
        <v>Yes</v>
      </c>
      <c r="AB588">
        <v>2023</v>
      </c>
      <c r="AC588">
        <v>16</v>
      </c>
      <c r="AD588">
        <f ca="1">IF(ISERROR(VLOOKUP(Table1[[#This Row],[item]],INDIRECT("'"&amp;Table1[[#This Row],[sheet]]&amp;"'!$A$8:$T$42"),Table1[[#This Row],[r]],FALSE)),"",VLOOKUP(Table1[[#This Row],[item]],INDIRECT("'"&amp;Table1[[#This Row],[sheet]]&amp;"'!$A$8:$T$42"),Table1[[#This Row],[r]],FALSE))</f>
        <v>56512.83</v>
      </c>
      <c r="AE588">
        <f>IF(VLOOKUP(Table1[[#This Row],[sheet]],Prg!$A$7:$J$31,10,FALSE)="","",VLOOKUP(Table1[[#This Row],[sheet]],Prg!$A$7:$J$31,10,FALSE)*1)</f>
        <v>1</v>
      </c>
      <c r="AF588" t="str">
        <f>VLOOKUP(Table1[[#This Row],[sheet]],Prg!$A$7:$J$31,5,FALSE)</f>
        <v>MALI REP</v>
      </c>
      <c r="AG588">
        <f>ROW()</f>
        <v>588</v>
      </c>
    </row>
    <row r="589" spans="24:33" hidden="1" x14ac:dyDescent="0.25">
      <c r="X589">
        <v>4</v>
      </c>
      <c r="Y589" t="s">
        <v>766</v>
      </c>
      <c r="Z589" t="s">
        <v>767</v>
      </c>
      <c r="AA589" t="str">
        <f>IF(OR(VLOOKUP(Table1[[#This Row],[sheet]],Prg!$A$7:$F$31,6,FALSE)=Prg!$O$2,VLOOKUP(Table1[[#This Row],[sheet]],Prg!$A$7:$F$31,6,FALSE)=Prg!$O$3),"Yes","No")</f>
        <v>Yes</v>
      </c>
      <c r="AB589">
        <v>2023</v>
      </c>
      <c r="AC589">
        <v>16</v>
      </c>
      <c r="AD589">
        <f ca="1">IF(ISERROR(VLOOKUP(Table1[[#This Row],[item]],INDIRECT("'"&amp;Table1[[#This Row],[sheet]]&amp;"'!$A$8:$T$42"),Table1[[#This Row],[r]],FALSE)),"",VLOOKUP(Table1[[#This Row],[item]],INDIRECT("'"&amp;Table1[[#This Row],[sheet]]&amp;"'!$A$8:$T$42"),Table1[[#This Row],[r]],FALSE))</f>
        <v>63109.29</v>
      </c>
      <c r="AE589">
        <f>IF(VLOOKUP(Table1[[#This Row],[sheet]],Prg!$A$7:$J$31,10,FALSE)="","",VLOOKUP(Table1[[#This Row],[sheet]],Prg!$A$7:$J$31,10,FALSE)*1)</f>
        <v>1</v>
      </c>
      <c r="AF589" t="str">
        <f>VLOOKUP(Table1[[#This Row],[sheet]],Prg!$A$7:$J$31,5,FALSE)</f>
        <v>MALI REP</v>
      </c>
      <c r="AG589">
        <f>ROW()</f>
        <v>589</v>
      </c>
    </row>
    <row r="590" spans="24:33" hidden="1" x14ac:dyDescent="0.25">
      <c r="X590">
        <v>4</v>
      </c>
      <c r="Y590" t="s">
        <v>768</v>
      </c>
      <c r="Z590" t="s">
        <v>182</v>
      </c>
      <c r="AA590" t="str">
        <f>IF(OR(VLOOKUP(Table1[[#This Row],[sheet]],Prg!$A$7:$F$31,6,FALSE)=Prg!$O$2,VLOOKUP(Table1[[#This Row],[sheet]],Prg!$A$7:$F$31,6,FALSE)=Prg!$O$3),"Yes","No")</f>
        <v>Yes</v>
      </c>
      <c r="AB590">
        <v>2023</v>
      </c>
      <c r="AC590">
        <v>16</v>
      </c>
      <c r="AD590">
        <f ca="1">IF(ISERROR(VLOOKUP(Table1[[#This Row],[item]],INDIRECT("'"&amp;Table1[[#This Row],[sheet]]&amp;"'!$A$8:$T$42"),Table1[[#This Row],[r]],FALSE)),"",VLOOKUP(Table1[[#This Row],[item]],INDIRECT("'"&amp;Table1[[#This Row],[sheet]]&amp;"'!$A$8:$T$42"),Table1[[#This Row],[r]],FALSE))</f>
        <v>4000</v>
      </c>
      <c r="AE590">
        <f>IF(VLOOKUP(Table1[[#This Row],[sheet]],Prg!$A$7:$J$31,10,FALSE)="","",VLOOKUP(Table1[[#This Row],[sheet]],Prg!$A$7:$J$31,10,FALSE)*1)</f>
        <v>1</v>
      </c>
      <c r="AF590" t="str">
        <f>VLOOKUP(Table1[[#This Row],[sheet]],Prg!$A$7:$J$31,5,FALSE)</f>
        <v>MALI REP</v>
      </c>
      <c r="AG590">
        <f>ROW()</f>
        <v>590</v>
      </c>
    </row>
    <row r="591" spans="24:33" hidden="1" x14ac:dyDescent="0.25">
      <c r="X591">
        <v>4</v>
      </c>
      <c r="Y591" t="s">
        <v>769</v>
      </c>
      <c r="Z591" t="s">
        <v>184</v>
      </c>
      <c r="AA591" t="str">
        <f>IF(OR(VLOOKUP(Table1[[#This Row],[sheet]],Prg!$A$7:$F$31,6,FALSE)=Prg!$O$2,VLOOKUP(Table1[[#This Row],[sheet]],Prg!$A$7:$F$31,6,FALSE)=Prg!$O$3),"Yes","No")</f>
        <v>Yes</v>
      </c>
      <c r="AB591">
        <v>2023</v>
      </c>
      <c r="AC591">
        <v>16</v>
      </c>
      <c r="AD591">
        <f ca="1">IF(ISERROR(VLOOKUP(Table1[[#This Row],[item]],INDIRECT("'"&amp;Table1[[#This Row],[sheet]]&amp;"'!$A$8:$T$42"),Table1[[#This Row],[r]],FALSE)),"",VLOOKUP(Table1[[#This Row],[item]],INDIRECT("'"&amp;Table1[[#This Row],[sheet]]&amp;"'!$A$8:$T$42"),Table1[[#This Row],[r]],FALSE))</f>
        <v>0</v>
      </c>
      <c r="AE591">
        <f>IF(VLOOKUP(Table1[[#This Row],[sheet]],Prg!$A$7:$J$31,10,FALSE)="","",VLOOKUP(Table1[[#This Row],[sheet]],Prg!$A$7:$J$31,10,FALSE)*1)</f>
        <v>1</v>
      </c>
      <c r="AF591" t="str">
        <f>VLOOKUP(Table1[[#This Row],[sheet]],Prg!$A$7:$J$31,5,FALSE)</f>
        <v>MALI REP</v>
      </c>
      <c r="AG591">
        <f>ROW()</f>
        <v>591</v>
      </c>
    </row>
    <row r="592" spans="24:33" hidden="1" x14ac:dyDescent="0.25">
      <c r="X592">
        <v>4</v>
      </c>
      <c r="Y592" t="s">
        <v>770</v>
      </c>
      <c r="Z592" t="s">
        <v>186</v>
      </c>
      <c r="AA592" t="str">
        <f>IF(OR(VLOOKUP(Table1[[#This Row],[sheet]],Prg!$A$7:$F$31,6,FALSE)=Prg!$O$2,VLOOKUP(Table1[[#This Row],[sheet]],Prg!$A$7:$F$31,6,FALSE)=Prg!$O$3),"Yes","No")</f>
        <v>Yes</v>
      </c>
      <c r="AB592">
        <v>2023</v>
      </c>
      <c r="AC592">
        <v>16</v>
      </c>
      <c r="AD592">
        <f ca="1">IF(ISERROR(VLOOKUP(Table1[[#This Row],[item]],INDIRECT("'"&amp;Table1[[#This Row],[sheet]]&amp;"'!$A$8:$T$42"),Table1[[#This Row],[r]],FALSE)),"",VLOOKUP(Table1[[#This Row],[item]],INDIRECT("'"&amp;Table1[[#This Row],[sheet]]&amp;"'!$A$8:$T$42"),Table1[[#This Row],[r]],FALSE))</f>
        <v>4000</v>
      </c>
      <c r="AE592">
        <f>IF(VLOOKUP(Table1[[#This Row],[sheet]],Prg!$A$7:$J$31,10,FALSE)="","",VLOOKUP(Table1[[#This Row],[sheet]],Prg!$A$7:$J$31,10,FALSE)*1)</f>
        <v>1</v>
      </c>
      <c r="AF592" t="str">
        <f>VLOOKUP(Table1[[#This Row],[sheet]],Prg!$A$7:$J$31,5,FALSE)</f>
        <v>MALI REP</v>
      </c>
      <c r="AG592">
        <f>ROW()</f>
        <v>592</v>
      </c>
    </row>
    <row r="593" spans="24:33" hidden="1" x14ac:dyDescent="0.25">
      <c r="X593">
        <v>4</v>
      </c>
      <c r="Y593" t="s">
        <v>771</v>
      </c>
      <c r="Z593" t="s">
        <v>772</v>
      </c>
      <c r="AA593" t="str">
        <f>IF(OR(VLOOKUP(Table1[[#This Row],[sheet]],Prg!$A$7:$F$31,6,FALSE)=Prg!$O$2,VLOOKUP(Table1[[#This Row],[sheet]],Prg!$A$7:$F$31,6,FALSE)=Prg!$O$3),"Yes","No")</f>
        <v>Yes</v>
      </c>
      <c r="AB593">
        <v>2023</v>
      </c>
      <c r="AC593">
        <v>16</v>
      </c>
      <c r="AD593">
        <f ca="1">IF(ISERROR(VLOOKUP(Table1[[#This Row],[item]],INDIRECT("'"&amp;Table1[[#This Row],[sheet]]&amp;"'!$A$8:$T$42"),Table1[[#This Row],[r]],FALSE)),"",VLOOKUP(Table1[[#This Row],[item]],INDIRECT("'"&amp;Table1[[#This Row],[sheet]]&amp;"'!$A$8:$T$42"),Table1[[#This Row],[r]],FALSE))</f>
        <v>0</v>
      </c>
      <c r="AE593">
        <f>IF(VLOOKUP(Table1[[#This Row],[sheet]],Prg!$A$7:$J$31,10,FALSE)="","",VLOOKUP(Table1[[#This Row],[sheet]],Prg!$A$7:$J$31,10,FALSE)*1)</f>
        <v>1</v>
      </c>
      <c r="AF593" t="str">
        <f>VLOOKUP(Table1[[#This Row],[sheet]],Prg!$A$7:$J$31,5,FALSE)</f>
        <v>MALI REP</v>
      </c>
      <c r="AG593">
        <f>ROW()</f>
        <v>593</v>
      </c>
    </row>
    <row r="594" spans="24:33" hidden="1" x14ac:dyDescent="0.25">
      <c r="X594">
        <v>4</v>
      </c>
      <c r="Y594" t="s">
        <v>773</v>
      </c>
      <c r="Z594" t="s">
        <v>190</v>
      </c>
      <c r="AA594" t="str">
        <f>IF(OR(VLOOKUP(Table1[[#This Row],[sheet]],Prg!$A$7:$F$31,6,FALSE)=Prg!$O$2,VLOOKUP(Table1[[#This Row],[sheet]],Prg!$A$7:$F$31,6,FALSE)=Prg!$O$3),"Yes","No")</f>
        <v>Yes</v>
      </c>
      <c r="AB594">
        <v>2023</v>
      </c>
      <c r="AC594">
        <v>16</v>
      </c>
      <c r="AD594">
        <f ca="1">IF(ISERROR(VLOOKUP(Table1[[#This Row],[item]],INDIRECT("'"&amp;Table1[[#This Row],[sheet]]&amp;"'!$A$8:$T$42"),Table1[[#This Row],[r]],FALSE)),"",VLOOKUP(Table1[[#This Row],[item]],INDIRECT("'"&amp;Table1[[#This Row],[sheet]]&amp;"'!$A$8:$T$42"),Table1[[#This Row],[r]],FALSE))</f>
        <v>690220.12907406094</v>
      </c>
      <c r="AE594">
        <f>IF(VLOOKUP(Table1[[#This Row],[sheet]],Prg!$A$7:$J$31,10,FALSE)="","",VLOOKUP(Table1[[#This Row],[sheet]],Prg!$A$7:$J$31,10,FALSE)*1)</f>
        <v>1</v>
      </c>
      <c r="AF594" t="str">
        <f>VLOOKUP(Table1[[#This Row],[sheet]],Prg!$A$7:$J$31,5,FALSE)</f>
        <v>MALI REP</v>
      </c>
      <c r="AG594">
        <f>ROW()</f>
        <v>594</v>
      </c>
    </row>
    <row r="595" spans="24:33" hidden="1" x14ac:dyDescent="0.25">
      <c r="X595">
        <v>4</v>
      </c>
      <c r="Y595" t="s">
        <v>709</v>
      </c>
      <c r="Z595" t="s">
        <v>192</v>
      </c>
      <c r="AA595" t="str">
        <f>IF(OR(VLOOKUP(Table1[[#This Row],[sheet]],Prg!$A$7:$F$31,6,FALSE)=Prg!$O$2,VLOOKUP(Table1[[#This Row],[sheet]],Prg!$A$7:$F$31,6,FALSE)=Prg!$O$3),"Yes","No")</f>
        <v>Yes</v>
      </c>
      <c r="AB595">
        <v>2023</v>
      </c>
      <c r="AC595">
        <v>16</v>
      </c>
      <c r="AD595">
        <f ca="1">IF(ISERROR(VLOOKUP(Table1[[#This Row],[item]],INDIRECT("'"&amp;Table1[[#This Row],[sheet]]&amp;"'!$A$8:$T$42"),Table1[[#This Row],[r]],FALSE)),"",VLOOKUP(Table1[[#This Row],[item]],INDIRECT("'"&amp;Table1[[#This Row],[sheet]]&amp;"'!$A$8:$T$42"),Table1[[#This Row],[r]],FALSE))</f>
        <v>32715.569074060975</v>
      </c>
      <c r="AE595">
        <f>IF(VLOOKUP(Table1[[#This Row],[sheet]],Prg!$A$7:$J$31,10,FALSE)="","",VLOOKUP(Table1[[#This Row],[sheet]],Prg!$A$7:$J$31,10,FALSE)*1)</f>
        <v>1</v>
      </c>
      <c r="AF595" t="str">
        <f>VLOOKUP(Table1[[#This Row],[sheet]],Prg!$A$7:$J$31,5,FALSE)</f>
        <v>MALI REP</v>
      </c>
      <c r="AG595">
        <f>ROW()</f>
        <v>595</v>
      </c>
    </row>
    <row r="596" spans="24:33" hidden="1" x14ac:dyDescent="0.25">
      <c r="X596">
        <v>4</v>
      </c>
      <c r="Y596" t="s">
        <v>774</v>
      </c>
      <c r="Z596" t="s">
        <v>194</v>
      </c>
      <c r="AA596" t="str">
        <f>IF(OR(VLOOKUP(Table1[[#This Row],[sheet]],Prg!$A$7:$F$31,6,FALSE)=Prg!$O$2,VLOOKUP(Table1[[#This Row],[sheet]],Prg!$A$7:$F$31,6,FALSE)=Prg!$O$3),"Yes","No")</f>
        <v>Yes</v>
      </c>
      <c r="AB596">
        <v>2023</v>
      </c>
      <c r="AC596">
        <v>16</v>
      </c>
      <c r="AD596">
        <f ca="1">IF(ISERROR(VLOOKUP(Table1[[#This Row],[item]],INDIRECT("'"&amp;Table1[[#This Row],[sheet]]&amp;"'!$A$8:$T$42"),Table1[[#This Row],[r]],FALSE)),"",VLOOKUP(Table1[[#This Row],[item]],INDIRECT("'"&amp;Table1[[#This Row],[sheet]]&amp;"'!$A$8:$T$42"),Table1[[#This Row],[r]],FALSE))</f>
        <v>0</v>
      </c>
      <c r="AE596">
        <f>IF(VLOOKUP(Table1[[#This Row],[sheet]],Prg!$A$7:$J$31,10,FALSE)="","",VLOOKUP(Table1[[#This Row],[sheet]],Prg!$A$7:$J$31,10,FALSE)*1)</f>
        <v>1</v>
      </c>
      <c r="AF596" t="str">
        <f>VLOOKUP(Table1[[#This Row],[sheet]],Prg!$A$7:$J$31,5,FALSE)</f>
        <v>MALI REP</v>
      </c>
      <c r="AG596">
        <f>ROW()</f>
        <v>596</v>
      </c>
    </row>
    <row r="597" spans="24:33" hidden="1" x14ac:dyDescent="0.25">
      <c r="X597">
        <v>4</v>
      </c>
      <c r="Y597" t="s">
        <v>775</v>
      </c>
      <c r="Z597" t="s">
        <v>196</v>
      </c>
      <c r="AA597" t="str">
        <f>IF(OR(VLOOKUP(Table1[[#This Row],[sheet]],Prg!$A$7:$F$31,6,FALSE)=Prg!$O$2,VLOOKUP(Table1[[#This Row],[sheet]],Prg!$A$7:$F$31,6,FALSE)=Prg!$O$3),"Yes","No")</f>
        <v>Yes</v>
      </c>
      <c r="AB597">
        <v>2023</v>
      </c>
      <c r="AC597">
        <v>16</v>
      </c>
      <c r="AD597">
        <f ca="1">IF(ISERROR(VLOOKUP(Table1[[#This Row],[item]],INDIRECT("'"&amp;Table1[[#This Row],[sheet]]&amp;"'!$A$8:$T$42"),Table1[[#This Row],[r]],FALSE)),"",VLOOKUP(Table1[[#This Row],[item]],INDIRECT("'"&amp;Table1[[#This Row],[sheet]]&amp;"'!$A$8:$T$42"),Table1[[#This Row],[r]],FALSE))</f>
        <v>1074.7658992177535</v>
      </c>
      <c r="AE597">
        <f>IF(VLOOKUP(Table1[[#This Row],[sheet]],Prg!$A$7:$J$31,10,FALSE)="","",VLOOKUP(Table1[[#This Row],[sheet]],Prg!$A$7:$J$31,10,FALSE)*1)</f>
        <v>1</v>
      </c>
      <c r="AF597" t="str">
        <f>VLOOKUP(Table1[[#This Row],[sheet]],Prg!$A$7:$J$31,5,FALSE)</f>
        <v>MALI REP</v>
      </c>
      <c r="AG597">
        <f>ROW()</f>
        <v>597</v>
      </c>
    </row>
    <row r="598" spans="24:33" hidden="1" x14ac:dyDescent="0.25">
      <c r="X598">
        <v>4</v>
      </c>
      <c r="Y598" t="s">
        <v>776</v>
      </c>
      <c r="Z598" t="s">
        <v>605</v>
      </c>
      <c r="AA598" t="str">
        <f>IF(OR(VLOOKUP(Table1[[#This Row],[sheet]],Prg!$A$7:$F$31,6,FALSE)=Prg!$O$2,VLOOKUP(Table1[[#This Row],[sheet]],Prg!$A$7:$F$31,6,FALSE)=Prg!$O$3),"Yes","No")</f>
        <v>Yes</v>
      </c>
      <c r="AB598">
        <v>2023</v>
      </c>
      <c r="AC598">
        <v>16</v>
      </c>
      <c r="AD598">
        <f ca="1">IF(ISERROR(VLOOKUP(Table1[[#This Row],[item]],INDIRECT("'"&amp;Table1[[#This Row],[sheet]]&amp;"'!$A$8:$T$42"),Table1[[#This Row],[r]],FALSE)),"",VLOOKUP(Table1[[#This Row],[item]],INDIRECT("'"&amp;Table1[[#This Row],[sheet]]&amp;"'!$A$8:$T$42"),Table1[[#This Row],[r]],FALSE))</f>
        <v>31640.803174843222</v>
      </c>
      <c r="AE598">
        <f>IF(VLOOKUP(Table1[[#This Row],[sheet]],Prg!$A$7:$J$31,10,FALSE)="","",VLOOKUP(Table1[[#This Row],[sheet]],Prg!$A$7:$J$31,10,FALSE)*1)</f>
        <v>1</v>
      </c>
      <c r="AF598" t="str">
        <f>VLOOKUP(Table1[[#This Row],[sheet]],Prg!$A$7:$J$31,5,FALSE)</f>
        <v>MALI REP</v>
      </c>
      <c r="AG598">
        <f>ROW()</f>
        <v>598</v>
      </c>
    </row>
    <row r="599" spans="24:33" hidden="1" x14ac:dyDescent="0.25">
      <c r="X599">
        <v>4</v>
      </c>
      <c r="Y599" t="s">
        <v>711</v>
      </c>
      <c r="Z599" t="s">
        <v>200</v>
      </c>
      <c r="AA599" t="str">
        <f>IF(OR(VLOOKUP(Table1[[#This Row],[sheet]],Prg!$A$7:$F$31,6,FALSE)=Prg!$O$2,VLOOKUP(Table1[[#This Row],[sheet]],Prg!$A$7:$F$31,6,FALSE)=Prg!$O$3),"Yes","No")</f>
        <v>Yes</v>
      </c>
      <c r="AB599">
        <v>2023</v>
      </c>
      <c r="AC599">
        <v>16</v>
      </c>
      <c r="AD599">
        <f ca="1">IF(ISERROR(VLOOKUP(Table1[[#This Row],[item]],INDIRECT("'"&amp;Table1[[#This Row],[sheet]]&amp;"'!$A$8:$T$42"),Table1[[#This Row],[r]],FALSE)),"",VLOOKUP(Table1[[#This Row],[item]],INDIRECT("'"&amp;Table1[[#This Row],[sheet]]&amp;"'!$A$8:$T$42"),Table1[[#This Row],[r]],FALSE))</f>
        <v>507850.1</v>
      </c>
      <c r="AE599">
        <f>IF(VLOOKUP(Table1[[#This Row],[sheet]],Prg!$A$7:$J$31,10,FALSE)="","",VLOOKUP(Table1[[#This Row],[sheet]],Prg!$A$7:$J$31,10,FALSE)*1)</f>
        <v>1</v>
      </c>
      <c r="AF599" t="str">
        <f>VLOOKUP(Table1[[#This Row],[sheet]],Prg!$A$7:$J$31,5,FALSE)</f>
        <v>MALI REP</v>
      </c>
      <c r="AG599">
        <f>ROW()</f>
        <v>599</v>
      </c>
    </row>
    <row r="600" spans="24:33" hidden="1" x14ac:dyDescent="0.25">
      <c r="X600">
        <v>4</v>
      </c>
      <c r="Y600" t="s">
        <v>777</v>
      </c>
      <c r="Z600" t="s">
        <v>202</v>
      </c>
      <c r="AA600" t="str">
        <f>IF(OR(VLOOKUP(Table1[[#This Row],[sheet]],Prg!$A$7:$F$31,6,FALSE)=Prg!$O$2,VLOOKUP(Table1[[#This Row],[sheet]],Prg!$A$7:$F$31,6,FALSE)=Prg!$O$3),"Yes","No")</f>
        <v>Yes</v>
      </c>
      <c r="AB600">
        <v>2023</v>
      </c>
      <c r="AC600">
        <v>16</v>
      </c>
      <c r="AD600">
        <f ca="1">IF(ISERROR(VLOOKUP(Table1[[#This Row],[item]],INDIRECT("'"&amp;Table1[[#This Row],[sheet]]&amp;"'!$A$8:$T$42"),Table1[[#This Row],[r]],FALSE)),"",VLOOKUP(Table1[[#This Row],[item]],INDIRECT("'"&amp;Table1[[#This Row],[sheet]]&amp;"'!$A$8:$T$42"),Table1[[#This Row],[r]],FALSE))</f>
        <v>9163.2000000000007</v>
      </c>
      <c r="AE600">
        <f>IF(VLOOKUP(Table1[[#This Row],[sheet]],Prg!$A$7:$J$31,10,FALSE)="","",VLOOKUP(Table1[[#This Row],[sheet]],Prg!$A$7:$J$31,10,FALSE)*1)</f>
        <v>1</v>
      </c>
      <c r="AF600" t="str">
        <f>VLOOKUP(Table1[[#This Row],[sheet]],Prg!$A$7:$J$31,5,FALSE)</f>
        <v>MALI REP</v>
      </c>
      <c r="AG600">
        <f>ROW()</f>
        <v>600</v>
      </c>
    </row>
    <row r="601" spans="24:33" hidden="1" x14ac:dyDescent="0.25">
      <c r="X601">
        <v>4</v>
      </c>
      <c r="Y601" t="s">
        <v>778</v>
      </c>
      <c r="Z601" t="s">
        <v>204</v>
      </c>
      <c r="AA601" t="str">
        <f>IF(OR(VLOOKUP(Table1[[#This Row],[sheet]],Prg!$A$7:$F$31,6,FALSE)=Prg!$O$2,VLOOKUP(Table1[[#This Row],[sheet]],Prg!$A$7:$F$31,6,FALSE)=Prg!$O$3),"Yes","No")</f>
        <v>Yes</v>
      </c>
      <c r="AB601">
        <v>2023</v>
      </c>
      <c r="AC601">
        <v>16</v>
      </c>
      <c r="AD601">
        <f ca="1">IF(ISERROR(VLOOKUP(Table1[[#This Row],[item]],INDIRECT("'"&amp;Table1[[#This Row],[sheet]]&amp;"'!$A$8:$T$42"),Table1[[#This Row],[r]],FALSE)),"",VLOOKUP(Table1[[#This Row],[item]],INDIRECT("'"&amp;Table1[[#This Row],[sheet]]&amp;"'!$A$8:$T$42"),Table1[[#This Row],[r]],FALSE))</f>
        <v>16015.01</v>
      </c>
      <c r="AE601">
        <f>IF(VLOOKUP(Table1[[#This Row],[sheet]],Prg!$A$7:$J$31,10,FALSE)="","",VLOOKUP(Table1[[#This Row],[sheet]],Prg!$A$7:$J$31,10,FALSE)*1)</f>
        <v>1</v>
      </c>
      <c r="AF601" t="str">
        <f>VLOOKUP(Table1[[#This Row],[sheet]],Prg!$A$7:$J$31,5,FALSE)</f>
        <v>MALI REP</v>
      </c>
      <c r="AG601">
        <f>ROW()</f>
        <v>601</v>
      </c>
    </row>
    <row r="602" spans="24:33" hidden="1" x14ac:dyDescent="0.25">
      <c r="X602">
        <v>4</v>
      </c>
      <c r="Y602" t="s">
        <v>779</v>
      </c>
      <c r="Z602" t="s">
        <v>605</v>
      </c>
      <c r="AA602" t="str">
        <f>IF(OR(VLOOKUP(Table1[[#This Row],[sheet]],Prg!$A$7:$F$31,6,FALSE)=Prg!$O$2,VLOOKUP(Table1[[#This Row],[sheet]],Prg!$A$7:$F$31,6,FALSE)=Prg!$O$3),"Yes","No")</f>
        <v>Yes</v>
      </c>
      <c r="AB602">
        <v>2023</v>
      </c>
      <c r="AC602">
        <v>16</v>
      </c>
      <c r="AD602">
        <f ca="1">IF(ISERROR(VLOOKUP(Table1[[#This Row],[item]],INDIRECT("'"&amp;Table1[[#This Row],[sheet]]&amp;"'!$A$8:$T$42"),Table1[[#This Row],[r]],FALSE)),"",VLOOKUP(Table1[[#This Row],[item]],INDIRECT("'"&amp;Table1[[#This Row],[sheet]]&amp;"'!$A$8:$T$42"),Table1[[#This Row],[r]],FALSE))</f>
        <v>482671.88999999996</v>
      </c>
      <c r="AE602">
        <f>IF(VLOOKUP(Table1[[#This Row],[sheet]],Prg!$A$7:$J$31,10,FALSE)="","",VLOOKUP(Table1[[#This Row],[sheet]],Prg!$A$7:$J$31,10,FALSE)*1)</f>
        <v>1</v>
      </c>
      <c r="AF602" t="str">
        <f>VLOOKUP(Table1[[#This Row],[sheet]],Prg!$A$7:$J$31,5,FALSE)</f>
        <v>MALI REP</v>
      </c>
      <c r="AG602">
        <f>ROW()</f>
        <v>602</v>
      </c>
    </row>
    <row r="603" spans="24:33" hidden="1" x14ac:dyDescent="0.25">
      <c r="X603">
        <v>4</v>
      </c>
      <c r="Y603" t="s">
        <v>712</v>
      </c>
      <c r="Z603" t="s">
        <v>780</v>
      </c>
      <c r="AA603" t="str">
        <f>IF(OR(VLOOKUP(Table1[[#This Row],[sheet]],Prg!$A$7:$F$31,6,FALSE)=Prg!$O$2,VLOOKUP(Table1[[#This Row],[sheet]],Prg!$A$7:$F$31,6,FALSE)=Prg!$O$3),"Yes","No")</f>
        <v>Yes</v>
      </c>
      <c r="AB603">
        <v>2023</v>
      </c>
      <c r="AC603">
        <v>16</v>
      </c>
      <c r="AD603">
        <f ca="1">IF(ISERROR(VLOOKUP(Table1[[#This Row],[item]],INDIRECT("'"&amp;Table1[[#This Row],[sheet]]&amp;"'!$A$8:$T$42"),Table1[[#This Row],[r]],FALSE)),"",VLOOKUP(Table1[[#This Row],[item]],INDIRECT("'"&amp;Table1[[#This Row],[sheet]]&amp;"'!$A$8:$T$42"),Table1[[#This Row],[r]],FALSE))</f>
        <v>149654.46</v>
      </c>
      <c r="AE603">
        <f>IF(VLOOKUP(Table1[[#This Row],[sheet]],Prg!$A$7:$J$31,10,FALSE)="","",VLOOKUP(Table1[[#This Row],[sheet]],Prg!$A$7:$J$31,10,FALSE)*1)</f>
        <v>1</v>
      </c>
      <c r="AF603" t="str">
        <f>VLOOKUP(Table1[[#This Row],[sheet]],Prg!$A$7:$J$31,5,FALSE)</f>
        <v>MALI REP</v>
      </c>
      <c r="AG603">
        <f>ROW()</f>
        <v>603</v>
      </c>
    </row>
    <row r="604" spans="24:33" hidden="1" x14ac:dyDescent="0.25">
      <c r="X604">
        <v>4</v>
      </c>
      <c r="Y604" t="s">
        <v>781</v>
      </c>
      <c r="Z604" t="s">
        <v>782</v>
      </c>
      <c r="AA604" t="str">
        <f>IF(OR(VLOOKUP(Table1[[#This Row],[sheet]],Prg!$A$7:$F$31,6,FALSE)=Prg!$O$2,VLOOKUP(Table1[[#This Row],[sheet]],Prg!$A$7:$F$31,6,FALSE)=Prg!$O$3),"Yes","No")</f>
        <v>Yes</v>
      </c>
      <c r="AB604">
        <v>2023</v>
      </c>
      <c r="AC604">
        <v>16</v>
      </c>
      <c r="AD604">
        <f ca="1">IF(ISERROR(VLOOKUP(Table1[[#This Row],[item]],INDIRECT("'"&amp;Table1[[#This Row],[sheet]]&amp;"'!$A$8:$T$42"),Table1[[#This Row],[r]],FALSE)),"",VLOOKUP(Table1[[#This Row],[item]],INDIRECT("'"&amp;Table1[[#This Row],[sheet]]&amp;"'!$A$8:$T$42"),Table1[[#This Row],[r]],FALSE))</f>
        <v>0</v>
      </c>
      <c r="AE604">
        <f>IF(VLOOKUP(Table1[[#This Row],[sheet]],Prg!$A$7:$J$31,10,FALSE)="","",VLOOKUP(Table1[[#This Row],[sheet]],Prg!$A$7:$J$31,10,FALSE)*1)</f>
        <v>1</v>
      </c>
      <c r="AF604" t="str">
        <f>VLOOKUP(Table1[[#This Row],[sheet]],Prg!$A$7:$J$31,5,FALSE)</f>
        <v>MALI REP</v>
      </c>
      <c r="AG604">
        <f>ROW()</f>
        <v>604</v>
      </c>
    </row>
    <row r="605" spans="24:33" hidden="1" x14ac:dyDescent="0.25">
      <c r="X605">
        <v>4</v>
      </c>
      <c r="Y605" t="s">
        <v>783</v>
      </c>
      <c r="Z605" t="s">
        <v>784</v>
      </c>
      <c r="AA605" t="str">
        <f>IF(OR(VLOOKUP(Table1[[#This Row],[sheet]],Prg!$A$7:$F$31,6,FALSE)=Prg!$O$2,VLOOKUP(Table1[[#This Row],[sheet]],Prg!$A$7:$F$31,6,FALSE)=Prg!$O$3),"Yes","No")</f>
        <v>Yes</v>
      </c>
      <c r="AB605">
        <v>2023</v>
      </c>
      <c r="AC605">
        <v>16</v>
      </c>
      <c r="AD605">
        <f ca="1">IF(ISERROR(VLOOKUP(Table1[[#This Row],[item]],INDIRECT("'"&amp;Table1[[#This Row],[sheet]]&amp;"'!$A$8:$T$42"),Table1[[#This Row],[r]],FALSE)),"",VLOOKUP(Table1[[#This Row],[item]],INDIRECT("'"&amp;Table1[[#This Row],[sheet]]&amp;"'!$A$8:$T$42"),Table1[[#This Row],[r]],FALSE))</f>
        <v>0</v>
      </c>
      <c r="AE605">
        <f>IF(VLOOKUP(Table1[[#This Row],[sheet]],Prg!$A$7:$J$31,10,FALSE)="","",VLOOKUP(Table1[[#This Row],[sheet]],Prg!$A$7:$J$31,10,FALSE)*1)</f>
        <v>1</v>
      </c>
      <c r="AF605" t="str">
        <f>VLOOKUP(Table1[[#This Row],[sheet]],Prg!$A$7:$J$31,5,FALSE)</f>
        <v>MALI REP</v>
      </c>
      <c r="AG605">
        <f>ROW()</f>
        <v>605</v>
      </c>
    </row>
    <row r="606" spans="24:33" hidden="1" x14ac:dyDescent="0.25">
      <c r="X606">
        <v>4</v>
      </c>
      <c r="Y606" t="s">
        <v>785</v>
      </c>
      <c r="Z606" t="s">
        <v>786</v>
      </c>
      <c r="AA606" t="str">
        <f>IF(OR(VLOOKUP(Table1[[#This Row],[sheet]],Prg!$A$7:$F$31,6,FALSE)=Prg!$O$2,VLOOKUP(Table1[[#This Row],[sheet]],Prg!$A$7:$F$31,6,FALSE)=Prg!$O$3),"Yes","No")</f>
        <v>Yes</v>
      </c>
      <c r="AB606">
        <v>2023</v>
      </c>
      <c r="AC606">
        <v>16</v>
      </c>
      <c r="AD606">
        <f ca="1">IF(ISERROR(VLOOKUP(Table1[[#This Row],[item]],INDIRECT("'"&amp;Table1[[#This Row],[sheet]]&amp;"'!$A$8:$T$42"),Table1[[#This Row],[r]],FALSE)),"",VLOOKUP(Table1[[#This Row],[item]],INDIRECT("'"&amp;Table1[[#This Row],[sheet]]&amp;"'!$A$8:$T$42"),Table1[[#This Row],[r]],FALSE))</f>
        <v>149654.46</v>
      </c>
      <c r="AE606">
        <f>IF(VLOOKUP(Table1[[#This Row],[sheet]],Prg!$A$7:$J$31,10,FALSE)="","",VLOOKUP(Table1[[#This Row],[sheet]],Prg!$A$7:$J$31,10,FALSE)*1)</f>
        <v>1</v>
      </c>
      <c r="AF606" t="str">
        <f>VLOOKUP(Table1[[#This Row],[sheet]],Prg!$A$7:$J$31,5,FALSE)</f>
        <v>MALI REP</v>
      </c>
      <c r="AG606">
        <f>ROW()</f>
        <v>606</v>
      </c>
    </row>
    <row r="607" spans="24:33" hidden="1" x14ac:dyDescent="0.25">
      <c r="X607">
        <v>4</v>
      </c>
      <c r="Y607" t="s">
        <v>787</v>
      </c>
      <c r="Z607" t="s">
        <v>633</v>
      </c>
      <c r="AA607" t="str">
        <f>IF(OR(VLOOKUP(Table1[[#This Row],[sheet]],Prg!$A$7:$F$31,6,FALSE)=Prg!$O$2,VLOOKUP(Table1[[#This Row],[sheet]],Prg!$A$7:$F$31,6,FALSE)=Prg!$O$3),"Yes","No")</f>
        <v>Yes</v>
      </c>
      <c r="AB607">
        <v>2023</v>
      </c>
      <c r="AC607">
        <v>16</v>
      </c>
      <c r="AD607">
        <f ca="1">IF(ISERROR(VLOOKUP(Table1[[#This Row],[item]],INDIRECT("'"&amp;Table1[[#This Row],[sheet]]&amp;"'!$A$8:$T$42"),Table1[[#This Row],[r]],FALSE)),"",VLOOKUP(Table1[[#This Row],[item]],INDIRECT("'"&amp;Table1[[#This Row],[sheet]]&amp;"'!$A$8:$T$42"),Table1[[#This Row],[r]],FALSE))</f>
        <v>0</v>
      </c>
      <c r="AE607">
        <f>IF(VLOOKUP(Table1[[#This Row],[sheet]],Prg!$A$7:$J$31,10,FALSE)="","",VLOOKUP(Table1[[#This Row],[sheet]],Prg!$A$7:$J$31,10,FALSE)*1)</f>
        <v>1</v>
      </c>
      <c r="AF607" t="str">
        <f>VLOOKUP(Table1[[#This Row],[sheet]],Prg!$A$7:$J$31,5,FALSE)</f>
        <v>MALI REP</v>
      </c>
      <c r="AG607">
        <f>ROW()</f>
        <v>607</v>
      </c>
    </row>
    <row r="608" spans="24:33" hidden="1" x14ac:dyDescent="0.25">
      <c r="X608">
        <v>4</v>
      </c>
      <c r="Y608" s="53" t="s">
        <v>753</v>
      </c>
      <c r="Z608" s="53" t="s">
        <v>162</v>
      </c>
      <c r="AA608" s="53" t="str">
        <f>IF(OR(VLOOKUP(Table1[[#This Row],[sheet]],Prg!$A$7:$F$31,6,FALSE)=Prg!$O$2,VLOOKUP(Table1[[#This Row],[sheet]],Prg!$A$7:$F$31,6,FALSE)=Prg!$O$3),"Yes","No")</f>
        <v>Yes</v>
      </c>
      <c r="AB608" s="53">
        <v>2024</v>
      </c>
      <c r="AC608">
        <v>17</v>
      </c>
      <c r="AD608">
        <f ca="1">IF(ISERROR(VLOOKUP(Table1[[#This Row],[item]],INDIRECT("'"&amp;Table1[[#This Row],[sheet]]&amp;"'!$A$8:$T$42"),Table1[[#This Row],[r]],FALSE)),"",VLOOKUP(Table1[[#This Row],[item]],INDIRECT("'"&amp;Table1[[#This Row],[sheet]]&amp;"'!$A$8:$T$42"),Table1[[#This Row],[r]],FALSE))</f>
        <v>474750.34888102382</v>
      </c>
      <c r="AE608">
        <f>IF(VLOOKUP(Table1[[#This Row],[sheet]],Prg!$A$7:$J$31,10,FALSE)="","",VLOOKUP(Table1[[#This Row],[sheet]],Prg!$A$7:$J$31,10,FALSE)*1)</f>
        <v>1</v>
      </c>
      <c r="AF608" t="str">
        <f>VLOOKUP(Table1[[#This Row],[sheet]],Prg!$A$7:$J$31,5,FALSE)</f>
        <v>MALI REP</v>
      </c>
      <c r="AG608">
        <f>ROW()</f>
        <v>608</v>
      </c>
    </row>
    <row r="609" spans="24:33" hidden="1" x14ac:dyDescent="0.25">
      <c r="X609">
        <v>4</v>
      </c>
      <c r="Y609" t="s">
        <v>754</v>
      </c>
      <c r="Z609" t="s">
        <v>164</v>
      </c>
      <c r="AA609" t="str">
        <f>IF(OR(VLOOKUP(Table1[[#This Row],[sheet]],Prg!$A$7:$F$31,6,FALSE)=Prg!$O$2,VLOOKUP(Table1[[#This Row],[sheet]],Prg!$A$7:$F$31,6,FALSE)=Prg!$O$3),"Yes","No")</f>
        <v>Yes</v>
      </c>
      <c r="AB609">
        <v>2024</v>
      </c>
      <c r="AC609">
        <v>17</v>
      </c>
      <c r="AD609">
        <f ca="1">IF(ISERROR(VLOOKUP(Table1[[#This Row],[item]],INDIRECT("'"&amp;Table1[[#This Row],[sheet]]&amp;"'!$A$8:$T$42"),Table1[[#This Row],[r]],FALSE)),"",VLOOKUP(Table1[[#This Row],[item]],INDIRECT("'"&amp;Table1[[#This Row],[sheet]]&amp;"'!$A$8:$T$42"),Table1[[#This Row],[r]],FALSE))</f>
        <v>26678.586150795294</v>
      </c>
      <c r="AE609">
        <f>IF(VLOOKUP(Table1[[#This Row],[sheet]],Prg!$A$7:$J$31,10,FALSE)="","",VLOOKUP(Table1[[#This Row],[sheet]],Prg!$A$7:$J$31,10,FALSE)*1)</f>
        <v>1</v>
      </c>
      <c r="AF609" t="str">
        <f>VLOOKUP(Table1[[#This Row],[sheet]],Prg!$A$7:$J$31,5,FALSE)</f>
        <v>MALI REP</v>
      </c>
      <c r="AG609">
        <f>ROW()</f>
        <v>609</v>
      </c>
    </row>
    <row r="610" spans="24:33" hidden="1" x14ac:dyDescent="0.25">
      <c r="X610">
        <v>4</v>
      </c>
      <c r="Y610" t="s">
        <v>755</v>
      </c>
      <c r="Z610" t="s">
        <v>166</v>
      </c>
      <c r="AA610" t="str">
        <f>IF(OR(VLOOKUP(Table1[[#This Row],[sheet]],Prg!$A$7:$F$31,6,FALSE)=Prg!$O$2,VLOOKUP(Table1[[#This Row],[sheet]],Prg!$A$7:$F$31,6,FALSE)=Prg!$O$3),"Yes","No")</f>
        <v>Yes</v>
      </c>
      <c r="AB610">
        <v>2024</v>
      </c>
      <c r="AC610">
        <v>17</v>
      </c>
      <c r="AD610">
        <f ca="1">IF(ISERROR(VLOOKUP(Table1[[#This Row],[item]],INDIRECT("'"&amp;Table1[[#This Row],[sheet]]&amp;"'!$A$8:$T$42"),Table1[[#This Row],[r]],FALSE)),"",VLOOKUP(Table1[[#This Row],[item]],INDIRECT("'"&amp;Table1[[#This Row],[sheet]]&amp;"'!$A$8:$T$42"),Table1[[#This Row],[r]],FALSE))</f>
        <v>361526.6</v>
      </c>
      <c r="AE610">
        <f>IF(VLOOKUP(Table1[[#This Row],[sheet]],Prg!$A$7:$J$31,10,FALSE)="","",VLOOKUP(Table1[[#This Row],[sheet]],Prg!$A$7:$J$31,10,FALSE)*1)</f>
        <v>1</v>
      </c>
      <c r="AF610" t="str">
        <f>VLOOKUP(Table1[[#This Row],[sheet]],Prg!$A$7:$J$31,5,FALSE)</f>
        <v>MALI REP</v>
      </c>
      <c r="AG610">
        <f>ROW()</f>
        <v>610</v>
      </c>
    </row>
    <row r="611" spans="24:33" hidden="1" x14ac:dyDescent="0.25">
      <c r="X611">
        <v>4</v>
      </c>
      <c r="Y611" t="s">
        <v>756</v>
      </c>
      <c r="Z611" t="s">
        <v>757</v>
      </c>
      <c r="AA611" t="str">
        <f>IF(OR(VLOOKUP(Table1[[#This Row],[sheet]],Prg!$A$7:$F$31,6,FALSE)=Prg!$O$2,VLOOKUP(Table1[[#This Row],[sheet]],Prg!$A$7:$F$31,6,FALSE)=Prg!$O$3),"Yes","No")</f>
        <v>Yes</v>
      </c>
      <c r="AB611">
        <v>2024</v>
      </c>
      <c r="AC611">
        <v>17</v>
      </c>
      <c r="AD611">
        <f ca="1">IF(ISERROR(VLOOKUP(Table1[[#This Row],[item]],INDIRECT("'"&amp;Table1[[#This Row],[sheet]]&amp;"'!$A$8:$T$42"),Table1[[#This Row],[r]],FALSE)),"",VLOOKUP(Table1[[#This Row],[item]],INDIRECT("'"&amp;Table1[[#This Row],[sheet]]&amp;"'!$A$8:$T$42"),Table1[[#This Row],[r]],FALSE))</f>
        <v>86545.162730228563</v>
      </c>
      <c r="AE611">
        <f>IF(VLOOKUP(Table1[[#This Row],[sheet]],Prg!$A$7:$J$31,10,FALSE)="","",VLOOKUP(Table1[[#This Row],[sheet]],Prg!$A$7:$J$31,10,FALSE)*1)</f>
        <v>1</v>
      </c>
      <c r="AF611" t="str">
        <f>VLOOKUP(Table1[[#This Row],[sheet]],Prg!$A$7:$J$31,5,FALSE)</f>
        <v>MALI REP</v>
      </c>
      <c r="AG611">
        <f>ROW()</f>
        <v>611</v>
      </c>
    </row>
    <row r="612" spans="24:33" hidden="1" x14ac:dyDescent="0.25">
      <c r="X612">
        <v>4</v>
      </c>
      <c r="Y612" t="s">
        <v>758</v>
      </c>
      <c r="Z612" t="s">
        <v>170</v>
      </c>
      <c r="AA612" t="str">
        <f>IF(OR(VLOOKUP(Table1[[#This Row],[sheet]],Prg!$A$7:$F$31,6,FALSE)=Prg!$O$2,VLOOKUP(Table1[[#This Row],[sheet]],Prg!$A$7:$F$31,6,FALSE)=Prg!$O$3),"Yes","No")</f>
        <v>Yes</v>
      </c>
      <c r="AB612">
        <v>2024</v>
      </c>
      <c r="AC612">
        <v>17</v>
      </c>
      <c r="AD612">
        <f ca="1">IF(ISERROR(VLOOKUP(Table1[[#This Row],[item]],INDIRECT("'"&amp;Table1[[#This Row],[sheet]]&amp;"'!$A$8:$T$42"),Table1[[#This Row],[r]],FALSE)),"",VLOOKUP(Table1[[#This Row],[item]],INDIRECT("'"&amp;Table1[[#This Row],[sheet]]&amp;"'!$A$8:$T$42"),Table1[[#This Row],[r]],FALSE))</f>
        <v>21477.17</v>
      </c>
      <c r="AE612">
        <f>IF(VLOOKUP(Table1[[#This Row],[sheet]],Prg!$A$7:$J$31,10,FALSE)="","",VLOOKUP(Table1[[#This Row],[sheet]],Prg!$A$7:$J$31,10,FALSE)*1)</f>
        <v>1</v>
      </c>
      <c r="AF612" t="str">
        <f>VLOOKUP(Table1[[#This Row],[sheet]],Prg!$A$7:$J$31,5,FALSE)</f>
        <v>MALI REP</v>
      </c>
      <c r="AG612">
        <f>ROW()</f>
        <v>612</v>
      </c>
    </row>
    <row r="613" spans="24:33" hidden="1" x14ac:dyDescent="0.25">
      <c r="X613">
        <v>4</v>
      </c>
      <c r="Y613" t="s">
        <v>759</v>
      </c>
      <c r="Z613" t="s">
        <v>172</v>
      </c>
      <c r="AA613" t="str">
        <f>IF(OR(VLOOKUP(Table1[[#This Row],[sheet]],Prg!$A$7:$F$31,6,FALSE)=Prg!$O$2,VLOOKUP(Table1[[#This Row],[sheet]],Prg!$A$7:$F$31,6,FALSE)=Prg!$O$3),"Yes","No")</f>
        <v>Yes</v>
      </c>
      <c r="AB613">
        <v>2024</v>
      </c>
      <c r="AC613">
        <v>17</v>
      </c>
      <c r="AD613">
        <f ca="1">IF(ISERROR(VLOOKUP(Table1[[#This Row],[item]],INDIRECT("'"&amp;Table1[[#This Row],[sheet]]&amp;"'!$A$8:$T$42"),Table1[[#This Row],[r]],FALSE)),"",VLOOKUP(Table1[[#This Row],[item]],INDIRECT("'"&amp;Table1[[#This Row],[sheet]]&amp;"'!$A$8:$T$42"),Table1[[#This Row],[r]],FALSE))</f>
        <v>0</v>
      </c>
      <c r="AE613">
        <f>IF(VLOOKUP(Table1[[#This Row],[sheet]],Prg!$A$7:$J$31,10,FALSE)="","",VLOOKUP(Table1[[#This Row],[sheet]],Prg!$A$7:$J$31,10,FALSE)*1)</f>
        <v>1</v>
      </c>
      <c r="AF613" t="str">
        <f>VLOOKUP(Table1[[#This Row],[sheet]],Prg!$A$7:$J$31,5,FALSE)</f>
        <v>MALI REP</v>
      </c>
      <c r="AG613">
        <f>ROW()</f>
        <v>613</v>
      </c>
    </row>
    <row r="614" spans="24:33" hidden="1" x14ac:dyDescent="0.25">
      <c r="X614">
        <v>4</v>
      </c>
      <c r="Y614" t="s">
        <v>760</v>
      </c>
      <c r="Z614" t="s">
        <v>174</v>
      </c>
      <c r="AA614" t="str">
        <f>IF(OR(VLOOKUP(Table1[[#This Row],[sheet]],Prg!$A$7:$F$31,6,FALSE)=Prg!$O$2,VLOOKUP(Table1[[#This Row],[sheet]],Prg!$A$7:$F$31,6,FALSE)=Prg!$O$3),"Yes","No")</f>
        <v>Yes</v>
      </c>
      <c r="AB614">
        <v>2024</v>
      </c>
      <c r="AC614">
        <v>17</v>
      </c>
      <c r="AD614">
        <f ca="1">IF(ISERROR(VLOOKUP(Table1[[#This Row],[item]],INDIRECT("'"&amp;Table1[[#This Row],[sheet]]&amp;"'!$A$8:$T$42"),Table1[[#This Row],[r]],FALSE)),"",VLOOKUP(Table1[[#This Row],[item]],INDIRECT("'"&amp;Table1[[#This Row],[sheet]]&amp;"'!$A$8:$T$42"),Table1[[#This Row],[r]],FALSE))</f>
        <v>21477.17</v>
      </c>
      <c r="AE614">
        <f>IF(VLOOKUP(Table1[[#This Row],[sheet]],Prg!$A$7:$J$31,10,FALSE)="","",VLOOKUP(Table1[[#This Row],[sheet]],Prg!$A$7:$J$31,10,FALSE)*1)</f>
        <v>1</v>
      </c>
      <c r="AF614" t="str">
        <f>VLOOKUP(Table1[[#This Row],[sheet]],Prg!$A$7:$J$31,5,FALSE)</f>
        <v>MALI REP</v>
      </c>
      <c r="AG614">
        <f>ROW()</f>
        <v>614</v>
      </c>
    </row>
    <row r="615" spans="24:33" hidden="1" x14ac:dyDescent="0.25">
      <c r="X615">
        <v>4</v>
      </c>
      <c r="Y615" t="s">
        <v>761</v>
      </c>
      <c r="Z615" t="s">
        <v>762</v>
      </c>
      <c r="AA615" t="str">
        <f>IF(OR(VLOOKUP(Table1[[#This Row],[sheet]],Prg!$A$7:$F$31,6,FALSE)=Prg!$O$2,VLOOKUP(Table1[[#This Row],[sheet]],Prg!$A$7:$F$31,6,FALSE)=Prg!$O$3),"Yes","No")</f>
        <v>Yes</v>
      </c>
      <c r="AB615">
        <v>2024</v>
      </c>
      <c r="AC615">
        <v>17</v>
      </c>
      <c r="AD615">
        <f ca="1">IF(ISERROR(VLOOKUP(Table1[[#This Row],[item]],INDIRECT("'"&amp;Table1[[#This Row],[sheet]]&amp;"'!$A$8:$T$42"),Table1[[#This Row],[r]],FALSE)),"",VLOOKUP(Table1[[#This Row],[item]],INDIRECT("'"&amp;Table1[[#This Row],[sheet]]&amp;"'!$A$8:$T$42"),Table1[[#This Row],[r]],FALSE))</f>
        <v>0</v>
      </c>
      <c r="AE615">
        <f>IF(VLOOKUP(Table1[[#This Row],[sheet]],Prg!$A$7:$J$31,10,FALSE)="","",VLOOKUP(Table1[[#This Row],[sheet]],Prg!$A$7:$J$31,10,FALSE)*1)</f>
        <v>1</v>
      </c>
      <c r="AF615" t="str">
        <f>VLOOKUP(Table1[[#This Row],[sheet]],Prg!$A$7:$J$31,5,FALSE)</f>
        <v>MALI REP</v>
      </c>
      <c r="AG615">
        <f>ROW()</f>
        <v>615</v>
      </c>
    </row>
    <row r="616" spans="24:33" hidden="1" x14ac:dyDescent="0.25">
      <c r="X616">
        <v>4</v>
      </c>
      <c r="Y616" t="s">
        <v>763</v>
      </c>
      <c r="Z616" t="s">
        <v>178</v>
      </c>
      <c r="AA616" t="str">
        <f>IF(OR(VLOOKUP(Table1[[#This Row],[sheet]],Prg!$A$7:$F$31,6,FALSE)=Prg!$O$2,VLOOKUP(Table1[[#This Row],[sheet]],Prg!$A$7:$F$31,6,FALSE)=Prg!$O$3),"Yes","No")</f>
        <v>Yes</v>
      </c>
      <c r="AB616">
        <v>2024</v>
      </c>
      <c r="AC616">
        <v>17</v>
      </c>
      <c r="AD616">
        <f ca="1">IF(ISERROR(VLOOKUP(Table1[[#This Row],[item]],INDIRECT("'"&amp;Table1[[#This Row],[sheet]]&amp;"'!$A$8:$T$42"),Table1[[#This Row],[r]],FALSE)),"",VLOOKUP(Table1[[#This Row],[item]],INDIRECT("'"&amp;Table1[[#This Row],[sheet]]&amp;"'!$A$8:$T$42"),Table1[[#This Row],[r]],FALSE))</f>
        <v>157243.91850802369</v>
      </c>
      <c r="AE616">
        <f>IF(VLOOKUP(Table1[[#This Row],[sheet]],Prg!$A$7:$J$31,10,FALSE)="","",VLOOKUP(Table1[[#This Row],[sheet]],Prg!$A$7:$J$31,10,FALSE)*1)</f>
        <v>1</v>
      </c>
      <c r="AF616" t="str">
        <f>VLOOKUP(Table1[[#This Row],[sheet]],Prg!$A$7:$J$31,5,FALSE)</f>
        <v>MALI REP</v>
      </c>
      <c r="AG616">
        <f>ROW()</f>
        <v>616</v>
      </c>
    </row>
    <row r="617" spans="24:33" hidden="1" x14ac:dyDescent="0.25">
      <c r="X617">
        <v>4</v>
      </c>
      <c r="Y617" t="s">
        <v>764</v>
      </c>
      <c r="Z617" t="s">
        <v>109</v>
      </c>
      <c r="AA617" t="str">
        <f>IF(OR(VLOOKUP(Table1[[#This Row],[sheet]],Prg!$A$7:$F$31,6,FALSE)=Prg!$O$2,VLOOKUP(Table1[[#This Row],[sheet]],Prg!$A$7:$F$31,6,FALSE)=Prg!$O$3),"Yes","No")</f>
        <v>Yes</v>
      </c>
      <c r="AB617">
        <v>2024</v>
      </c>
      <c r="AC617">
        <v>17</v>
      </c>
      <c r="AD617">
        <f ca="1">IF(ISERROR(VLOOKUP(Table1[[#This Row],[item]],INDIRECT("'"&amp;Table1[[#This Row],[sheet]]&amp;"'!$A$8:$T$42"),Table1[[#This Row],[r]],FALSE)),"",VLOOKUP(Table1[[#This Row],[item]],INDIRECT("'"&amp;Table1[[#This Row],[sheet]]&amp;"'!$A$8:$T$42"),Table1[[#This Row],[r]],FALSE))</f>
        <v>4512.4922860773759</v>
      </c>
      <c r="AE617">
        <f>IF(VLOOKUP(Table1[[#This Row],[sheet]],Prg!$A$7:$J$31,10,FALSE)="","",VLOOKUP(Table1[[#This Row],[sheet]],Prg!$A$7:$J$31,10,FALSE)*1)</f>
        <v>1</v>
      </c>
      <c r="AF617" t="str">
        <f>VLOOKUP(Table1[[#This Row],[sheet]],Prg!$A$7:$J$31,5,FALSE)</f>
        <v>MALI REP</v>
      </c>
      <c r="AG617">
        <f>ROW()</f>
        <v>617</v>
      </c>
    </row>
    <row r="618" spans="24:33" hidden="1" x14ac:dyDescent="0.25">
      <c r="X618">
        <v>4</v>
      </c>
      <c r="Y618" t="s">
        <v>765</v>
      </c>
      <c r="Z618" t="s">
        <v>117</v>
      </c>
      <c r="AA618" t="str">
        <f>IF(OR(VLOOKUP(Table1[[#This Row],[sheet]],Prg!$A$7:$F$31,6,FALSE)=Prg!$O$2,VLOOKUP(Table1[[#This Row],[sheet]],Prg!$A$7:$F$31,6,FALSE)=Prg!$O$3),"Yes","No")</f>
        <v>Yes</v>
      </c>
      <c r="AB618">
        <v>2024</v>
      </c>
      <c r="AC618">
        <v>17</v>
      </c>
      <c r="AD618">
        <f ca="1">IF(ISERROR(VLOOKUP(Table1[[#This Row],[item]],INDIRECT("'"&amp;Table1[[#This Row],[sheet]]&amp;"'!$A$8:$T$42"),Table1[[#This Row],[r]],FALSE)),"",VLOOKUP(Table1[[#This Row],[item]],INDIRECT("'"&amp;Table1[[#This Row],[sheet]]&amp;"'!$A$8:$T$42"),Table1[[#This Row],[r]],FALSE))</f>
        <v>59622.130000000005</v>
      </c>
      <c r="AE618">
        <f>IF(VLOOKUP(Table1[[#This Row],[sheet]],Prg!$A$7:$J$31,10,FALSE)="","",VLOOKUP(Table1[[#This Row],[sheet]],Prg!$A$7:$J$31,10,FALSE)*1)</f>
        <v>1</v>
      </c>
      <c r="AF618" t="str">
        <f>VLOOKUP(Table1[[#This Row],[sheet]],Prg!$A$7:$J$31,5,FALSE)</f>
        <v>MALI REP</v>
      </c>
      <c r="AG618">
        <f>ROW()</f>
        <v>618</v>
      </c>
    </row>
    <row r="619" spans="24:33" hidden="1" x14ac:dyDescent="0.25">
      <c r="X619">
        <v>4</v>
      </c>
      <c r="Y619" t="s">
        <v>766</v>
      </c>
      <c r="Z619" t="s">
        <v>767</v>
      </c>
      <c r="AA619" t="str">
        <f>IF(OR(VLOOKUP(Table1[[#This Row],[sheet]],Prg!$A$7:$F$31,6,FALSE)=Prg!$O$2,VLOOKUP(Table1[[#This Row],[sheet]],Prg!$A$7:$F$31,6,FALSE)=Prg!$O$3),"Yes","No")</f>
        <v>Yes</v>
      </c>
      <c r="AB619">
        <v>2024</v>
      </c>
      <c r="AC619">
        <v>17</v>
      </c>
      <c r="AD619">
        <f ca="1">IF(ISERROR(VLOOKUP(Table1[[#This Row],[item]],INDIRECT("'"&amp;Table1[[#This Row],[sheet]]&amp;"'!$A$8:$T$42"),Table1[[#This Row],[r]],FALSE)),"",VLOOKUP(Table1[[#This Row],[item]],INDIRECT("'"&amp;Table1[[#This Row],[sheet]]&amp;"'!$A$8:$T$42"),Table1[[#This Row],[r]],FALSE))</f>
        <v>93109.296221946322</v>
      </c>
      <c r="AE619">
        <f>IF(VLOOKUP(Table1[[#This Row],[sheet]],Prg!$A$7:$J$31,10,FALSE)="","",VLOOKUP(Table1[[#This Row],[sheet]],Prg!$A$7:$J$31,10,FALSE)*1)</f>
        <v>1</v>
      </c>
      <c r="AF619" t="str">
        <f>VLOOKUP(Table1[[#This Row],[sheet]],Prg!$A$7:$J$31,5,FALSE)</f>
        <v>MALI REP</v>
      </c>
      <c r="AG619">
        <f>ROW()</f>
        <v>619</v>
      </c>
    </row>
    <row r="620" spans="24:33" hidden="1" x14ac:dyDescent="0.25">
      <c r="X620">
        <v>4</v>
      </c>
      <c r="Y620" t="s">
        <v>768</v>
      </c>
      <c r="Z620" t="s">
        <v>182</v>
      </c>
      <c r="AA620" t="str">
        <f>IF(OR(VLOOKUP(Table1[[#This Row],[sheet]],Prg!$A$7:$F$31,6,FALSE)=Prg!$O$2,VLOOKUP(Table1[[#This Row],[sheet]],Prg!$A$7:$F$31,6,FALSE)=Prg!$O$3),"Yes","No")</f>
        <v>Yes</v>
      </c>
      <c r="AB620">
        <v>2024</v>
      </c>
      <c r="AC620">
        <v>17</v>
      </c>
      <c r="AD620">
        <f ca="1">IF(ISERROR(VLOOKUP(Table1[[#This Row],[item]],INDIRECT("'"&amp;Table1[[#This Row],[sheet]]&amp;"'!$A$8:$T$42"),Table1[[#This Row],[r]],FALSE)),"",VLOOKUP(Table1[[#This Row],[item]],INDIRECT("'"&amp;Table1[[#This Row],[sheet]]&amp;"'!$A$8:$T$42"),Table1[[#This Row],[r]],FALSE))</f>
        <v>4000</v>
      </c>
      <c r="AE620">
        <f>IF(VLOOKUP(Table1[[#This Row],[sheet]],Prg!$A$7:$J$31,10,FALSE)="","",VLOOKUP(Table1[[#This Row],[sheet]],Prg!$A$7:$J$31,10,FALSE)*1)</f>
        <v>1</v>
      </c>
      <c r="AF620" t="str">
        <f>VLOOKUP(Table1[[#This Row],[sheet]],Prg!$A$7:$J$31,5,FALSE)</f>
        <v>MALI REP</v>
      </c>
      <c r="AG620">
        <f>ROW()</f>
        <v>620</v>
      </c>
    </row>
    <row r="621" spans="24:33" hidden="1" x14ac:dyDescent="0.25">
      <c r="X621">
        <v>4</v>
      </c>
      <c r="Y621" t="s">
        <v>769</v>
      </c>
      <c r="Z621" t="s">
        <v>184</v>
      </c>
      <c r="AA621" t="str">
        <f>IF(OR(VLOOKUP(Table1[[#This Row],[sheet]],Prg!$A$7:$F$31,6,FALSE)=Prg!$O$2,VLOOKUP(Table1[[#This Row],[sheet]],Prg!$A$7:$F$31,6,FALSE)=Prg!$O$3),"Yes","No")</f>
        <v>Yes</v>
      </c>
      <c r="AB621">
        <v>2024</v>
      </c>
      <c r="AC621">
        <v>17</v>
      </c>
      <c r="AD621">
        <f ca="1">IF(ISERROR(VLOOKUP(Table1[[#This Row],[item]],INDIRECT("'"&amp;Table1[[#This Row],[sheet]]&amp;"'!$A$8:$T$42"),Table1[[#This Row],[r]],FALSE)),"",VLOOKUP(Table1[[#This Row],[item]],INDIRECT("'"&amp;Table1[[#This Row],[sheet]]&amp;"'!$A$8:$T$42"),Table1[[#This Row],[r]],FALSE))</f>
        <v>0</v>
      </c>
      <c r="AE621">
        <f>IF(VLOOKUP(Table1[[#This Row],[sheet]],Prg!$A$7:$J$31,10,FALSE)="","",VLOOKUP(Table1[[#This Row],[sheet]],Prg!$A$7:$J$31,10,FALSE)*1)</f>
        <v>1</v>
      </c>
      <c r="AF621" t="str">
        <f>VLOOKUP(Table1[[#This Row],[sheet]],Prg!$A$7:$J$31,5,FALSE)</f>
        <v>MALI REP</v>
      </c>
      <c r="AG621">
        <f>ROW()</f>
        <v>621</v>
      </c>
    </row>
    <row r="622" spans="24:33" hidden="1" x14ac:dyDescent="0.25">
      <c r="X622">
        <v>4</v>
      </c>
      <c r="Y622" t="s">
        <v>770</v>
      </c>
      <c r="Z622" t="s">
        <v>186</v>
      </c>
      <c r="AA622" t="str">
        <f>IF(OR(VLOOKUP(Table1[[#This Row],[sheet]],Prg!$A$7:$F$31,6,FALSE)=Prg!$O$2,VLOOKUP(Table1[[#This Row],[sheet]],Prg!$A$7:$F$31,6,FALSE)=Prg!$O$3),"Yes","No")</f>
        <v>Yes</v>
      </c>
      <c r="AB622">
        <v>2024</v>
      </c>
      <c r="AC622">
        <v>17</v>
      </c>
      <c r="AD622">
        <f ca="1">IF(ISERROR(VLOOKUP(Table1[[#This Row],[item]],INDIRECT("'"&amp;Table1[[#This Row],[sheet]]&amp;"'!$A$8:$T$42"),Table1[[#This Row],[r]],FALSE)),"",VLOOKUP(Table1[[#This Row],[item]],INDIRECT("'"&amp;Table1[[#This Row],[sheet]]&amp;"'!$A$8:$T$42"),Table1[[#This Row],[r]],FALSE))</f>
        <v>4000</v>
      </c>
      <c r="AE622">
        <f>IF(VLOOKUP(Table1[[#This Row],[sheet]],Prg!$A$7:$J$31,10,FALSE)="","",VLOOKUP(Table1[[#This Row],[sheet]],Prg!$A$7:$J$31,10,FALSE)*1)</f>
        <v>1</v>
      </c>
      <c r="AF622" t="str">
        <f>VLOOKUP(Table1[[#This Row],[sheet]],Prg!$A$7:$J$31,5,FALSE)</f>
        <v>MALI REP</v>
      </c>
      <c r="AG622">
        <f>ROW()</f>
        <v>622</v>
      </c>
    </row>
    <row r="623" spans="24:33" hidden="1" x14ac:dyDescent="0.25">
      <c r="X623">
        <v>4</v>
      </c>
      <c r="Y623" t="s">
        <v>771</v>
      </c>
      <c r="Z623" t="s">
        <v>772</v>
      </c>
      <c r="AA623" t="str">
        <f>IF(OR(VLOOKUP(Table1[[#This Row],[sheet]],Prg!$A$7:$F$31,6,FALSE)=Prg!$O$2,VLOOKUP(Table1[[#This Row],[sheet]],Prg!$A$7:$F$31,6,FALSE)=Prg!$O$3),"Yes","No")</f>
        <v>Yes</v>
      </c>
      <c r="AB623">
        <v>2024</v>
      </c>
      <c r="AC623">
        <v>17</v>
      </c>
      <c r="AD623">
        <f ca="1">IF(ISERROR(VLOOKUP(Table1[[#This Row],[item]],INDIRECT("'"&amp;Table1[[#This Row],[sheet]]&amp;"'!$A$8:$T$42"),Table1[[#This Row],[r]],FALSE)),"",VLOOKUP(Table1[[#This Row],[item]],INDIRECT("'"&amp;Table1[[#This Row],[sheet]]&amp;"'!$A$8:$T$42"),Table1[[#This Row],[r]],FALSE))</f>
        <v>0</v>
      </c>
      <c r="AE623">
        <f>IF(VLOOKUP(Table1[[#This Row],[sheet]],Prg!$A$7:$J$31,10,FALSE)="","",VLOOKUP(Table1[[#This Row],[sheet]],Prg!$A$7:$J$31,10,FALSE)*1)</f>
        <v>1</v>
      </c>
      <c r="AF623" t="str">
        <f>VLOOKUP(Table1[[#This Row],[sheet]],Prg!$A$7:$J$31,5,FALSE)</f>
        <v>MALI REP</v>
      </c>
      <c r="AG623">
        <f>ROW()</f>
        <v>623</v>
      </c>
    </row>
    <row r="624" spans="24:33" hidden="1" x14ac:dyDescent="0.25">
      <c r="X624">
        <v>4</v>
      </c>
      <c r="Y624" t="s">
        <v>773</v>
      </c>
      <c r="Z624" t="s">
        <v>190</v>
      </c>
      <c r="AA624" t="str">
        <f>IF(OR(VLOOKUP(Table1[[#This Row],[sheet]],Prg!$A$7:$F$31,6,FALSE)=Prg!$O$2,VLOOKUP(Table1[[#This Row],[sheet]],Prg!$A$7:$F$31,6,FALSE)=Prg!$O$3),"Yes","No")</f>
        <v>Yes</v>
      </c>
      <c r="AB624">
        <v>2024</v>
      </c>
      <c r="AC624">
        <v>17</v>
      </c>
      <c r="AD624">
        <f ca="1">IF(ISERROR(VLOOKUP(Table1[[#This Row],[item]],INDIRECT("'"&amp;Table1[[#This Row],[sheet]]&amp;"'!$A$8:$T$42"),Table1[[#This Row],[r]],FALSE)),"",VLOOKUP(Table1[[#This Row],[item]],INDIRECT("'"&amp;Table1[[#This Row],[sheet]]&amp;"'!$A$8:$T$42"),Table1[[#This Row],[r]],FALSE))</f>
        <v>657471.43738904758</v>
      </c>
      <c r="AE624">
        <f>IF(VLOOKUP(Table1[[#This Row],[sheet]],Prg!$A$7:$J$31,10,FALSE)="","",VLOOKUP(Table1[[#This Row],[sheet]],Prg!$A$7:$J$31,10,FALSE)*1)</f>
        <v>1</v>
      </c>
      <c r="AF624" t="str">
        <f>VLOOKUP(Table1[[#This Row],[sheet]],Prg!$A$7:$J$31,5,FALSE)</f>
        <v>MALI REP</v>
      </c>
      <c r="AG624">
        <f>ROW()</f>
        <v>624</v>
      </c>
    </row>
    <row r="625" spans="24:33" hidden="1" x14ac:dyDescent="0.25">
      <c r="X625">
        <v>4</v>
      </c>
      <c r="Y625" t="s">
        <v>709</v>
      </c>
      <c r="Z625" t="s">
        <v>192</v>
      </c>
      <c r="AA625" t="str">
        <f>IF(OR(VLOOKUP(Table1[[#This Row],[sheet]],Prg!$A$7:$F$31,6,FALSE)=Prg!$O$2,VLOOKUP(Table1[[#This Row],[sheet]],Prg!$A$7:$F$31,6,FALSE)=Prg!$O$3),"Yes","No")</f>
        <v>Yes</v>
      </c>
      <c r="AB625">
        <v>2024</v>
      </c>
      <c r="AC625">
        <v>17</v>
      </c>
      <c r="AD625">
        <f ca="1">IF(ISERROR(VLOOKUP(Table1[[#This Row],[item]],INDIRECT("'"&amp;Table1[[#This Row],[sheet]]&amp;"'!$A$8:$T$42"),Table1[[#This Row],[r]],FALSE)),"",VLOOKUP(Table1[[#This Row],[item]],INDIRECT("'"&amp;Table1[[#This Row],[sheet]]&amp;"'!$A$8:$T$42"),Table1[[#This Row],[r]],FALSE))</f>
        <v>31191.078436872671</v>
      </c>
      <c r="AE625">
        <f>IF(VLOOKUP(Table1[[#This Row],[sheet]],Prg!$A$7:$J$31,10,FALSE)="","",VLOOKUP(Table1[[#This Row],[sheet]],Prg!$A$7:$J$31,10,FALSE)*1)</f>
        <v>1</v>
      </c>
      <c r="AF625" t="str">
        <f>VLOOKUP(Table1[[#This Row],[sheet]],Prg!$A$7:$J$31,5,FALSE)</f>
        <v>MALI REP</v>
      </c>
      <c r="AG625">
        <f>ROW()</f>
        <v>625</v>
      </c>
    </row>
    <row r="626" spans="24:33" hidden="1" x14ac:dyDescent="0.25">
      <c r="X626">
        <v>4</v>
      </c>
      <c r="Y626" t="s">
        <v>774</v>
      </c>
      <c r="Z626" t="s">
        <v>194</v>
      </c>
      <c r="AA626" t="str">
        <f>IF(OR(VLOOKUP(Table1[[#This Row],[sheet]],Prg!$A$7:$F$31,6,FALSE)=Prg!$O$2,VLOOKUP(Table1[[#This Row],[sheet]],Prg!$A$7:$F$31,6,FALSE)=Prg!$O$3),"Yes","No")</f>
        <v>Yes</v>
      </c>
      <c r="AB626">
        <v>2024</v>
      </c>
      <c r="AC626">
        <v>17</v>
      </c>
      <c r="AD626">
        <f ca="1">IF(ISERROR(VLOOKUP(Table1[[#This Row],[item]],INDIRECT("'"&amp;Table1[[#This Row],[sheet]]&amp;"'!$A$8:$T$42"),Table1[[#This Row],[r]],FALSE)),"",VLOOKUP(Table1[[#This Row],[item]],INDIRECT("'"&amp;Table1[[#This Row],[sheet]]&amp;"'!$A$8:$T$42"),Table1[[#This Row],[r]],FALSE))</f>
        <v>0</v>
      </c>
      <c r="AE626">
        <f>IF(VLOOKUP(Table1[[#This Row],[sheet]],Prg!$A$7:$J$31,10,FALSE)="","",VLOOKUP(Table1[[#This Row],[sheet]],Prg!$A$7:$J$31,10,FALSE)*1)</f>
        <v>1</v>
      </c>
      <c r="AF626" t="str">
        <f>VLOOKUP(Table1[[#This Row],[sheet]],Prg!$A$7:$J$31,5,FALSE)</f>
        <v>MALI REP</v>
      </c>
      <c r="AG626">
        <f>ROW()</f>
        <v>626</v>
      </c>
    </row>
    <row r="627" spans="24:33" hidden="1" x14ac:dyDescent="0.25">
      <c r="X627">
        <v>4</v>
      </c>
      <c r="Y627" t="s">
        <v>775</v>
      </c>
      <c r="Z627" t="s">
        <v>196</v>
      </c>
      <c r="AA627" t="str">
        <f>IF(OR(VLOOKUP(Table1[[#This Row],[sheet]],Prg!$A$7:$F$31,6,FALSE)=Prg!$O$2,VLOOKUP(Table1[[#This Row],[sheet]],Prg!$A$7:$F$31,6,FALSE)=Prg!$O$3),"Yes","No")</f>
        <v>Yes</v>
      </c>
      <c r="AB627">
        <v>2024</v>
      </c>
      <c r="AC627">
        <v>17</v>
      </c>
      <c r="AD627">
        <f ca="1">IF(ISERROR(VLOOKUP(Table1[[#This Row],[item]],INDIRECT("'"&amp;Table1[[#This Row],[sheet]]&amp;"'!$A$8:$T$42"),Table1[[#This Row],[r]],FALSE)),"",VLOOKUP(Table1[[#This Row],[item]],INDIRECT("'"&amp;Table1[[#This Row],[sheet]]&amp;"'!$A$8:$T$42"),Table1[[#This Row],[r]],FALSE))</f>
        <v>1074.7658992177535</v>
      </c>
      <c r="AE627">
        <f>IF(VLOOKUP(Table1[[#This Row],[sheet]],Prg!$A$7:$J$31,10,FALSE)="","",VLOOKUP(Table1[[#This Row],[sheet]],Prg!$A$7:$J$31,10,FALSE)*1)</f>
        <v>1</v>
      </c>
      <c r="AF627" t="str">
        <f>VLOOKUP(Table1[[#This Row],[sheet]],Prg!$A$7:$J$31,5,FALSE)</f>
        <v>MALI REP</v>
      </c>
      <c r="AG627">
        <f>ROW()</f>
        <v>627</v>
      </c>
    </row>
    <row r="628" spans="24:33" hidden="1" x14ac:dyDescent="0.25">
      <c r="X628">
        <v>4</v>
      </c>
      <c r="Y628" t="s">
        <v>776</v>
      </c>
      <c r="Z628" t="s">
        <v>605</v>
      </c>
      <c r="AA628" t="str">
        <f>IF(OR(VLOOKUP(Table1[[#This Row],[sheet]],Prg!$A$7:$F$31,6,FALSE)=Prg!$O$2,VLOOKUP(Table1[[#This Row],[sheet]],Prg!$A$7:$F$31,6,FALSE)=Prg!$O$3),"Yes","No")</f>
        <v>Yes</v>
      </c>
      <c r="AB628">
        <v>2024</v>
      </c>
      <c r="AC628">
        <v>17</v>
      </c>
      <c r="AD628">
        <f ca="1">IF(ISERROR(VLOOKUP(Table1[[#This Row],[item]],INDIRECT("'"&amp;Table1[[#This Row],[sheet]]&amp;"'!$A$8:$T$42"),Table1[[#This Row],[r]],FALSE)),"",VLOOKUP(Table1[[#This Row],[item]],INDIRECT("'"&amp;Table1[[#This Row],[sheet]]&amp;"'!$A$8:$T$42"),Table1[[#This Row],[r]],FALSE))</f>
        <v>30116.312537654918</v>
      </c>
      <c r="AE628">
        <f>IF(VLOOKUP(Table1[[#This Row],[sheet]],Prg!$A$7:$J$31,10,FALSE)="","",VLOOKUP(Table1[[#This Row],[sheet]],Prg!$A$7:$J$31,10,FALSE)*1)</f>
        <v>1</v>
      </c>
      <c r="AF628" t="str">
        <f>VLOOKUP(Table1[[#This Row],[sheet]],Prg!$A$7:$J$31,5,FALSE)</f>
        <v>MALI REP</v>
      </c>
      <c r="AG628">
        <f>ROW()</f>
        <v>628</v>
      </c>
    </row>
    <row r="629" spans="24:33" hidden="1" x14ac:dyDescent="0.25">
      <c r="X629">
        <v>4</v>
      </c>
      <c r="Y629" t="s">
        <v>711</v>
      </c>
      <c r="Z629" t="s">
        <v>200</v>
      </c>
      <c r="AA629" t="str">
        <f>IF(OR(VLOOKUP(Table1[[#This Row],[sheet]],Prg!$A$7:$F$31,6,FALSE)=Prg!$O$2,VLOOKUP(Table1[[#This Row],[sheet]],Prg!$A$7:$F$31,6,FALSE)=Prg!$O$3),"Yes","No")</f>
        <v>Yes</v>
      </c>
      <c r="AB629">
        <v>2024</v>
      </c>
      <c r="AC629">
        <v>17</v>
      </c>
      <c r="AD629">
        <f ca="1">IF(ISERROR(VLOOKUP(Table1[[#This Row],[item]],INDIRECT("'"&amp;Table1[[#This Row],[sheet]]&amp;"'!$A$8:$T$42"),Table1[[#This Row],[r]],FALSE)),"",VLOOKUP(Table1[[#This Row],[item]],INDIRECT("'"&amp;Table1[[#This Row],[sheet]]&amp;"'!$A$8:$T$42"),Table1[[#This Row],[r]],FALSE))</f>
        <v>446625.9</v>
      </c>
      <c r="AE629">
        <f>IF(VLOOKUP(Table1[[#This Row],[sheet]],Prg!$A$7:$J$31,10,FALSE)="","",VLOOKUP(Table1[[#This Row],[sheet]],Prg!$A$7:$J$31,10,FALSE)*1)</f>
        <v>1</v>
      </c>
      <c r="AF629" t="str">
        <f>VLOOKUP(Table1[[#This Row],[sheet]],Prg!$A$7:$J$31,5,FALSE)</f>
        <v>MALI REP</v>
      </c>
      <c r="AG629">
        <f>ROW()</f>
        <v>629</v>
      </c>
    </row>
    <row r="630" spans="24:33" hidden="1" x14ac:dyDescent="0.25">
      <c r="X630">
        <v>4</v>
      </c>
      <c r="Y630" t="s">
        <v>777</v>
      </c>
      <c r="Z630" t="s">
        <v>202</v>
      </c>
      <c r="AA630" t="str">
        <f>IF(OR(VLOOKUP(Table1[[#This Row],[sheet]],Prg!$A$7:$F$31,6,FALSE)=Prg!$O$2,VLOOKUP(Table1[[#This Row],[sheet]],Prg!$A$7:$F$31,6,FALSE)=Prg!$O$3),"Yes","No")</f>
        <v>Yes</v>
      </c>
      <c r="AB630">
        <v>2024</v>
      </c>
      <c r="AC630">
        <v>17</v>
      </c>
      <c r="AD630">
        <f ca="1">IF(ISERROR(VLOOKUP(Table1[[#This Row],[item]],INDIRECT("'"&amp;Table1[[#This Row],[sheet]]&amp;"'!$A$8:$T$42"),Table1[[#This Row],[r]],FALSE)),"",VLOOKUP(Table1[[#This Row],[item]],INDIRECT("'"&amp;Table1[[#This Row],[sheet]]&amp;"'!$A$8:$T$42"),Table1[[#This Row],[r]],FALSE))</f>
        <v>7608.08</v>
      </c>
      <c r="AE630">
        <f>IF(VLOOKUP(Table1[[#This Row],[sheet]],Prg!$A$7:$J$31,10,FALSE)="","",VLOOKUP(Table1[[#This Row],[sheet]],Prg!$A$7:$J$31,10,FALSE)*1)</f>
        <v>1</v>
      </c>
      <c r="AF630" t="str">
        <f>VLOOKUP(Table1[[#This Row],[sheet]],Prg!$A$7:$J$31,5,FALSE)</f>
        <v>MALI REP</v>
      </c>
      <c r="AG630">
        <f>ROW()</f>
        <v>630</v>
      </c>
    </row>
    <row r="631" spans="24:33" hidden="1" x14ac:dyDescent="0.25">
      <c r="X631">
        <v>4</v>
      </c>
      <c r="Y631" t="s">
        <v>778</v>
      </c>
      <c r="Z631" t="s">
        <v>204</v>
      </c>
      <c r="AA631" t="str">
        <f>IF(OR(VLOOKUP(Table1[[#This Row],[sheet]],Prg!$A$7:$F$31,6,FALSE)=Prg!$O$2,VLOOKUP(Table1[[#This Row],[sheet]],Prg!$A$7:$F$31,6,FALSE)=Prg!$O$3),"Yes","No")</f>
        <v>Yes</v>
      </c>
      <c r="AB631">
        <v>2024</v>
      </c>
      <c r="AC631">
        <v>17</v>
      </c>
      <c r="AD631">
        <f ca="1">IF(ISERROR(VLOOKUP(Table1[[#This Row],[item]],INDIRECT("'"&amp;Table1[[#This Row],[sheet]]&amp;"'!$A$8:$T$42"),Table1[[#This Row],[r]],FALSE)),"",VLOOKUP(Table1[[#This Row],[item]],INDIRECT("'"&amp;Table1[[#This Row],[sheet]]&amp;"'!$A$8:$T$42"),Table1[[#This Row],[r]],FALSE))</f>
        <v>16015</v>
      </c>
      <c r="AE631">
        <f>IF(VLOOKUP(Table1[[#This Row],[sheet]],Prg!$A$7:$J$31,10,FALSE)="","",VLOOKUP(Table1[[#This Row],[sheet]],Prg!$A$7:$J$31,10,FALSE)*1)</f>
        <v>1</v>
      </c>
      <c r="AF631" t="str">
        <f>VLOOKUP(Table1[[#This Row],[sheet]],Prg!$A$7:$J$31,5,FALSE)</f>
        <v>MALI REP</v>
      </c>
      <c r="AG631">
        <f>ROW()</f>
        <v>631</v>
      </c>
    </row>
    <row r="632" spans="24:33" hidden="1" x14ac:dyDescent="0.25">
      <c r="X632">
        <v>4</v>
      </c>
      <c r="Y632" t="s">
        <v>779</v>
      </c>
      <c r="Z632" t="s">
        <v>605</v>
      </c>
      <c r="AA632" t="str">
        <f>IF(OR(VLOOKUP(Table1[[#This Row],[sheet]],Prg!$A$7:$F$31,6,FALSE)=Prg!$O$2,VLOOKUP(Table1[[#This Row],[sheet]],Prg!$A$7:$F$31,6,FALSE)=Prg!$O$3),"Yes","No")</f>
        <v>Yes</v>
      </c>
      <c r="AB632">
        <v>2024</v>
      </c>
      <c r="AC632">
        <v>17</v>
      </c>
      <c r="AD632">
        <f ca="1">IF(ISERROR(VLOOKUP(Table1[[#This Row],[item]],INDIRECT("'"&amp;Table1[[#This Row],[sheet]]&amp;"'!$A$8:$T$42"),Table1[[#This Row],[r]],FALSE)),"",VLOOKUP(Table1[[#This Row],[item]],INDIRECT("'"&amp;Table1[[#This Row],[sheet]]&amp;"'!$A$8:$T$42"),Table1[[#This Row],[r]],FALSE))</f>
        <v>423002.82</v>
      </c>
      <c r="AE632">
        <f>IF(VLOOKUP(Table1[[#This Row],[sheet]],Prg!$A$7:$J$31,10,FALSE)="","",VLOOKUP(Table1[[#This Row],[sheet]],Prg!$A$7:$J$31,10,FALSE)*1)</f>
        <v>1</v>
      </c>
      <c r="AF632" t="str">
        <f>VLOOKUP(Table1[[#This Row],[sheet]],Prg!$A$7:$J$31,5,FALSE)</f>
        <v>MALI REP</v>
      </c>
      <c r="AG632">
        <f>ROW()</f>
        <v>632</v>
      </c>
    </row>
    <row r="633" spans="24:33" hidden="1" x14ac:dyDescent="0.25">
      <c r="X633">
        <v>4</v>
      </c>
      <c r="Y633" t="s">
        <v>712</v>
      </c>
      <c r="Z633" t="s">
        <v>780</v>
      </c>
      <c r="AA633" t="str">
        <f>IF(OR(VLOOKUP(Table1[[#This Row],[sheet]],Prg!$A$7:$F$31,6,FALSE)=Prg!$O$2,VLOOKUP(Table1[[#This Row],[sheet]],Prg!$A$7:$F$31,6,FALSE)=Prg!$O$3),"Yes","No")</f>
        <v>Yes</v>
      </c>
      <c r="AB633">
        <v>2024</v>
      </c>
      <c r="AC633">
        <v>17</v>
      </c>
      <c r="AD633">
        <f ca="1">IF(ISERROR(VLOOKUP(Table1[[#This Row],[item]],INDIRECT("'"&amp;Table1[[#This Row],[sheet]]&amp;"'!$A$8:$T$42"),Table1[[#This Row],[r]],FALSE)),"",VLOOKUP(Table1[[#This Row],[item]],INDIRECT("'"&amp;Table1[[#This Row],[sheet]]&amp;"'!$A$8:$T$42"),Table1[[#This Row],[r]],FALSE))</f>
        <v>179654.45895217487</v>
      </c>
      <c r="AE633">
        <f>IF(VLOOKUP(Table1[[#This Row],[sheet]],Prg!$A$7:$J$31,10,FALSE)="","",VLOOKUP(Table1[[#This Row],[sheet]],Prg!$A$7:$J$31,10,FALSE)*1)</f>
        <v>1</v>
      </c>
      <c r="AF633" t="str">
        <f>VLOOKUP(Table1[[#This Row],[sheet]],Prg!$A$7:$J$31,5,FALSE)</f>
        <v>MALI REP</v>
      </c>
      <c r="AG633">
        <f>ROW()</f>
        <v>633</v>
      </c>
    </row>
    <row r="634" spans="24:33" hidden="1" x14ac:dyDescent="0.25">
      <c r="X634">
        <v>4</v>
      </c>
      <c r="Y634" t="s">
        <v>781</v>
      </c>
      <c r="Z634" t="s">
        <v>782</v>
      </c>
      <c r="AA634" t="str">
        <f>IF(OR(VLOOKUP(Table1[[#This Row],[sheet]],Prg!$A$7:$F$31,6,FALSE)=Prg!$O$2,VLOOKUP(Table1[[#This Row],[sheet]],Prg!$A$7:$F$31,6,FALSE)=Prg!$O$3),"Yes","No")</f>
        <v>Yes</v>
      </c>
      <c r="AB634">
        <v>2024</v>
      </c>
      <c r="AC634">
        <v>17</v>
      </c>
      <c r="AD634">
        <f ca="1">IF(ISERROR(VLOOKUP(Table1[[#This Row],[item]],INDIRECT("'"&amp;Table1[[#This Row],[sheet]]&amp;"'!$A$8:$T$42"),Table1[[#This Row],[r]],FALSE)),"",VLOOKUP(Table1[[#This Row],[item]],INDIRECT("'"&amp;Table1[[#This Row],[sheet]]&amp;"'!$A$8:$T$42"),Table1[[#This Row],[r]],FALSE))</f>
        <v>0</v>
      </c>
      <c r="AE634">
        <f>IF(VLOOKUP(Table1[[#This Row],[sheet]],Prg!$A$7:$J$31,10,FALSE)="","",VLOOKUP(Table1[[#This Row],[sheet]],Prg!$A$7:$J$31,10,FALSE)*1)</f>
        <v>1</v>
      </c>
      <c r="AF634" t="str">
        <f>VLOOKUP(Table1[[#This Row],[sheet]],Prg!$A$7:$J$31,5,FALSE)</f>
        <v>MALI REP</v>
      </c>
      <c r="AG634">
        <f>ROW()</f>
        <v>634</v>
      </c>
    </row>
    <row r="635" spans="24:33" hidden="1" x14ac:dyDescent="0.25">
      <c r="X635">
        <v>4</v>
      </c>
      <c r="Y635" t="s">
        <v>783</v>
      </c>
      <c r="Z635" t="s">
        <v>784</v>
      </c>
      <c r="AA635" t="str">
        <f>IF(OR(VLOOKUP(Table1[[#This Row],[sheet]],Prg!$A$7:$F$31,6,FALSE)=Prg!$O$2,VLOOKUP(Table1[[#This Row],[sheet]],Prg!$A$7:$F$31,6,FALSE)=Prg!$O$3),"Yes","No")</f>
        <v>Yes</v>
      </c>
      <c r="AB635">
        <v>2024</v>
      </c>
      <c r="AC635">
        <v>17</v>
      </c>
      <c r="AD635">
        <f ca="1">IF(ISERROR(VLOOKUP(Table1[[#This Row],[item]],INDIRECT("'"&amp;Table1[[#This Row],[sheet]]&amp;"'!$A$8:$T$42"),Table1[[#This Row],[r]],FALSE)),"",VLOOKUP(Table1[[#This Row],[item]],INDIRECT("'"&amp;Table1[[#This Row],[sheet]]&amp;"'!$A$8:$T$42"),Table1[[#This Row],[r]],FALSE))</f>
        <v>0</v>
      </c>
      <c r="AE635">
        <f>IF(VLOOKUP(Table1[[#This Row],[sheet]],Prg!$A$7:$J$31,10,FALSE)="","",VLOOKUP(Table1[[#This Row],[sheet]],Prg!$A$7:$J$31,10,FALSE)*1)</f>
        <v>1</v>
      </c>
      <c r="AF635" t="str">
        <f>VLOOKUP(Table1[[#This Row],[sheet]],Prg!$A$7:$J$31,5,FALSE)</f>
        <v>MALI REP</v>
      </c>
      <c r="AG635">
        <f>ROW()</f>
        <v>635</v>
      </c>
    </row>
    <row r="636" spans="24:33" hidden="1" x14ac:dyDescent="0.25">
      <c r="X636">
        <v>4</v>
      </c>
      <c r="Y636" t="s">
        <v>785</v>
      </c>
      <c r="Z636" t="s">
        <v>786</v>
      </c>
      <c r="AA636" t="str">
        <f>IF(OR(VLOOKUP(Table1[[#This Row],[sheet]],Prg!$A$7:$F$31,6,FALSE)=Prg!$O$2,VLOOKUP(Table1[[#This Row],[sheet]],Prg!$A$7:$F$31,6,FALSE)=Prg!$O$3),"Yes","No")</f>
        <v>Yes</v>
      </c>
      <c r="AB636">
        <v>2024</v>
      </c>
      <c r="AC636">
        <v>17</v>
      </c>
      <c r="AD636">
        <f ca="1">IF(ISERROR(VLOOKUP(Table1[[#This Row],[item]],INDIRECT("'"&amp;Table1[[#This Row],[sheet]]&amp;"'!$A$8:$T$42"),Table1[[#This Row],[r]],FALSE)),"",VLOOKUP(Table1[[#This Row],[item]],INDIRECT("'"&amp;Table1[[#This Row],[sheet]]&amp;"'!$A$8:$T$42"),Table1[[#This Row],[r]],FALSE))</f>
        <v>179654.45895217487</v>
      </c>
      <c r="AE636">
        <f>IF(VLOOKUP(Table1[[#This Row],[sheet]],Prg!$A$7:$J$31,10,FALSE)="","",VLOOKUP(Table1[[#This Row],[sheet]],Prg!$A$7:$J$31,10,FALSE)*1)</f>
        <v>1</v>
      </c>
      <c r="AF636" t="str">
        <f>VLOOKUP(Table1[[#This Row],[sheet]],Prg!$A$7:$J$31,5,FALSE)</f>
        <v>MALI REP</v>
      </c>
      <c r="AG636">
        <f>ROW()</f>
        <v>636</v>
      </c>
    </row>
    <row r="637" spans="24:33" hidden="1" x14ac:dyDescent="0.25">
      <c r="X637">
        <v>4</v>
      </c>
      <c r="Y637" t="s">
        <v>787</v>
      </c>
      <c r="Z637" t="s">
        <v>633</v>
      </c>
      <c r="AA637" t="str">
        <f>IF(OR(VLOOKUP(Table1[[#This Row],[sheet]],Prg!$A$7:$F$31,6,FALSE)=Prg!$O$2,VLOOKUP(Table1[[#This Row],[sheet]],Prg!$A$7:$F$31,6,FALSE)=Prg!$O$3),"Yes","No")</f>
        <v>Yes</v>
      </c>
      <c r="AB637">
        <v>2024</v>
      </c>
      <c r="AC637">
        <v>17</v>
      </c>
      <c r="AD637">
        <f ca="1">IF(ISERROR(VLOOKUP(Table1[[#This Row],[item]],INDIRECT("'"&amp;Table1[[#This Row],[sheet]]&amp;"'!$A$8:$T$42"),Table1[[#This Row],[r]],FALSE)),"",VLOOKUP(Table1[[#This Row],[item]],INDIRECT("'"&amp;Table1[[#This Row],[sheet]]&amp;"'!$A$8:$T$42"),Table1[[#This Row],[r]],FALSE))</f>
        <v>0</v>
      </c>
      <c r="AE637">
        <f>IF(VLOOKUP(Table1[[#This Row],[sheet]],Prg!$A$7:$J$31,10,FALSE)="","",VLOOKUP(Table1[[#This Row],[sheet]],Prg!$A$7:$J$31,10,FALSE)*1)</f>
        <v>1</v>
      </c>
      <c r="AF637" t="str">
        <f>VLOOKUP(Table1[[#This Row],[sheet]],Prg!$A$7:$J$31,5,FALSE)</f>
        <v>MALI REP</v>
      </c>
      <c r="AG637">
        <f>ROW()</f>
        <v>637</v>
      </c>
    </row>
    <row r="638" spans="24:33" hidden="1" x14ac:dyDescent="0.25">
      <c r="X638">
        <v>4</v>
      </c>
      <c r="Y638" s="53" t="s">
        <v>753</v>
      </c>
      <c r="Z638" s="53" t="s">
        <v>162</v>
      </c>
      <c r="AA638" s="53" t="str">
        <f>IF(OR(VLOOKUP(Table1[[#This Row],[sheet]],Prg!$A$7:$F$31,6,FALSE)=Prg!$O$2,VLOOKUP(Table1[[#This Row],[sheet]],Prg!$A$7:$F$31,6,FALSE)=Prg!$O$3),"Yes","No")</f>
        <v>Yes</v>
      </c>
      <c r="AB638" s="53">
        <v>2025</v>
      </c>
      <c r="AC638">
        <v>18</v>
      </c>
      <c r="AD638">
        <f ca="1">IF(ISERROR(VLOOKUP(Table1[[#This Row],[item]],INDIRECT("'"&amp;Table1[[#This Row],[sheet]]&amp;"'!$A$8:$T$42"),Table1[[#This Row],[r]],FALSE)),"",VLOOKUP(Table1[[#This Row],[item]],INDIRECT("'"&amp;Table1[[#This Row],[sheet]]&amp;"'!$A$8:$T$42"),Table1[[#This Row],[r]],FALSE))</f>
        <v>464857.39888102387</v>
      </c>
      <c r="AE638">
        <f>IF(VLOOKUP(Table1[[#This Row],[sheet]],Prg!$A$7:$J$31,10,FALSE)="","",VLOOKUP(Table1[[#This Row],[sheet]],Prg!$A$7:$J$31,10,FALSE)*1)</f>
        <v>1</v>
      </c>
      <c r="AF638" t="str">
        <f>VLOOKUP(Table1[[#This Row],[sheet]],Prg!$A$7:$J$31,5,FALSE)</f>
        <v>MALI REP</v>
      </c>
      <c r="AG638">
        <f>ROW()</f>
        <v>638</v>
      </c>
    </row>
    <row r="639" spans="24:33" hidden="1" x14ac:dyDescent="0.25">
      <c r="X639">
        <v>4</v>
      </c>
      <c r="Y639" t="s">
        <v>754</v>
      </c>
      <c r="Z639" t="s">
        <v>164</v>
      </c>
      <c r="AA639" t="str">
        <f>IF(OR(VLOOKUP(Table1[[#This Row],[sheet]],Prg!$A$7:$F$31,6,FALSE)=Prg!$O$2,VLOOKUP(Table1[[#This Row],[sheet]],Prg!$A$7:$F$31,6,FALSE)=Prg!$O$3),"Yes","No")</f>
        <v>Yes</v>
      </c>
      <c r="AB639">
        <v>2025</v>
      </c>
      <c r="AC639">
        <v>18</v>
      </c>
      <c r="AD639">
        <f ca="1">IF(ISERROR(VLOOKUP(Table1[[#This Row],[item]],INDIRECT("'"&amp;Table1[[#This Row],[sheet]]&amp;"'!$A$8:$T$42"),Table1[[#This Row],[r]],FALSE)),"",VLOOKUP(Table1[[#This Row],[item]],INDIRECT("'"&amp;Table1[[#This Row],[sheet]]&amp;"'!$A$8:$T$42"),Table1[[#This Row],[r]],FALSE))</f>
        <v>26678.586150795294</v>
      </c>
      <c r="AE639">
        <f>IF(VLOOKUP(Table1[[#This Row],[sheet]],Prg!$A$7:$J$31,10,FALSE)="","",VLOOKUP(Table1[[#This Row],[sheet]],Prg!$A$7:$J$31,10,FALSE)*1)</f>
        <v>1</v>
      </c>
      <c r="AF639" t="str">
        <f>VLOOKUP(Table1[[#This Row],[sheet]],Prg!$A$7:$J$31,5,FALSE)</f>
        <v>MALI REP</v>
      </c>
      <c r="AG639">
        <f>ROW()</f>
        <v>639</v>
      </c>
    </row>
    <row r="640" spans="24:33" hidden="1" x14ac:dyDescent="0.25">
      <c r="X640">
        <v>4</v>
      </c>
      <c r="Y640" t="s">
        <v>755</v>
      </c>
      <c r="Z640" t="s">
        <v>166</v>
      </c>
      <c r="AA640" t="str">
        <f>IF(OR(VLOOKUP(Table1[[#This Row],[sheet]],Prg!$A$7:$F$31,6,FALSE)=Prg!$O$2,VLOOKUP(Table1[[#This Row],[sheet]],Prg!$A$7:$F$31,6,FALSE)=Prg!$O$3),"Yes","No")</f>
        <v>Yes</v>
      </c>
      <c r="AB640">
        <v>2025</v>
      </c>
      <c r="AC640">
        <v>18</v>
      </c>
      <c r="AD640">
        <f ca="1">IF(ISERROR(VLOOKUP(Table1[[#This Row],[item]],INDIRECT("'"&amp;Table1[[#This Row],[sheet]]&amp;"'!$A$8:$T$42"),Table1[[#This Row],[r]],FALSE)),"",VLOOKUP(Table1[[#This Row],[item]],INDIRECT("'"&amp;Table1[[#This Row],[sheet]]&amp;"'!$A$8:$T$42"),Table1[[#This Row],[r]],FALSE))</f>
        <v>351633.65</v>
      </c>
      <c r="AE640">
        <f>IF(VLOOKUP(Table1[[#This Row],[sheet]],Prg!$A$7:$J$31,10,FALSE)="","",VLOOKUP(Table1[[#This Row],[sheet]],Prg!$A$7:$J$31,10,FALSE)*1)</f>
        <v>1</v>
      </c>
      <c r="AF640" t="str">
        <f>VLOOKUP(Table1[[#This Row],[sheet]],Prg!$A$7:$J$31,5,FALSE)</f>
        <v>MALI REP</v>
      </c>
      <c r="AG640">
        <f>ROW()</f>
        <v>640</v>
      </c>
    </row>
    <row r="641" spans="24:33" hidden="1" x14ac:dyDescent="0.25">
      <c r="X641">
        <v>4</v>
      </c>
      <c r="Y641" t="s">
        <v>756</v>
      </c>
      <c r="Z641" t="s">
        <v>757</v>
      </c>
      <c r="AA641" t="str">
        <f>IF(OR(VLOOKUP(Table1[[#This Row],[sheet]],Prg!$A$7:$F$31,6,FALSE)=Prg!$O$2,VLOOKUP(Table1[[#This Row],[sheet]],Prg!$A$7:$F$31,6,FALSE)=Prg!$O$3),"Yes","No")</f>
        <v>Yes</v>
      </c>
      <c r="AB641">
        <v>2025</v>
      </c>
      <c r="AC641">
        <v>18</v>
      </c>
      <c r="AD641">
        <f ca="1">IF(ISERROR(VLOOKUP(Table1[[#This Row],[item]],INDIRECT("'"&amp;Table1[[#This Row],[sheet]]&amp;"'!$A$8:$T$42"),Table1[[#This Row],[r]],FALSE)),"",VLOOKUP(Table1[[#This Row],[item]],INDIRECT("'"&amp;Table1[[#This Row],[sheet]]&amp;"'!$A$8:$T$42"),Table1[[#This Row],[r]],FALSE))</f>
        <v>86545.162730228563</v>
      </c>
      <c r="AE641">
        <f>IF(VLOOKUP(Table1[[#This Row],[sheet]],Prg!$A$7:$J$31,10,FALSE)="","",VLOOKUP(Table1[[#This Row],[sheet]],Prg!$A$7:$J$31,10,FALSE)*1)</f>
        <v>1</v>
      </c>
      <c r="AF641" t="str">
        <f>VLOOKUP(Table1[[#This Row],[sheet]],Prg!$A$7:$J$31,5,FALSE)</f>
        <v>MALI REP</v>
      </c>
      <c r="AG641">
        <f>ROW()</f>
        <v>641</v>
      </c>
    </row>
    <row r="642" spans="24:33" hidden="1" x14ac:dyDescent="0.25">
      <c r="X642">
        <v>4</v>
      </c>
      <c r="Y642" t="s">
        <v>758</v>
      </c>
      <c r="Z642" t="s">
        <v>170</v>
      </c>
      <c r="AA642" t="str">
        <f>IF(OR(VLOOKUP(Table1[[#This Row],[sheet]],Prg!$A$7:$F$31,6,FALSE)=Prg!$O$2,VLOOKUP(Table1[[#This Row],[sheet]],Prg!$A$7:$F$31,6,FALSE)=Prg!$O$3),"Yes","No")</f>
        <v>Yes</v>
      </c>
      <c r="AB642">
        <v>2025</v>
      </c>
      <c r="AC642">
        <v>18</v>
      </c>
      <c r="AD642">
        <f ca="1">IF(ISERROR(VLOOKUP(Table1[[#This Row],[item]],INDIRECT("'"&amp;Table1[[#This Row],[sheet]]&amp;"'!$A$8:$T$42"),Table1[[#This Row],[r]],FALSE)),"",VLOOKUP(Table1[[#This Row],[item]],INDIRECT("'"&amp;Table1[[#This Row],[sheet]]&amp;"'!$A$8:$T$42"),Table1[[#This Row],[r]],FALSE))</f>
        <v>21477.17</v>
      </c>
      <c r="AE642">
        <f>IF(VLOOKUP(Table1[[#This Row],[sheet]],Prg!$A$7:$J$31,10,FALSE)="","",VLOOKUP(Table1[[#This Row],[sheet]],Prg!$A$7:$J$31,10,FALSE)*1)</f>
        <v>1</v>
      </c>
      <c r="AF642" t="str">
        <f>VLOOKUP(Table1[[#This Row],[sheet]],Prg!$A$7:$J$31,5,FALSE)</f>
        <v>MALI REP</v>
      </c>
      <c r="AG642">
        <f>ROW()</f>
        <v>642</v>
      </c>
    </row>
    <row r="643" spans="24:33" hidden="1" x14ac:dyDescent="0.25">
      <c r="X643">
        <v>4</v>
      </c>
      <c r="Y643" t="s">
        <v>759</v>
      </c>
      <c r="Z643" t="s">
        <v>172</v>
      </c>
      <c r="AA643" t="str">
        <f>IF(OR(VLOOKUP(Table1[[#This Row],[sheet]],Prg!$A$7:$F$31,6,FALSE)=Prg!$O$2,VLOOKUP(Table1[[#This Row],[sheet]],Prg!$A$7:$F$31,6,FALSE)=Prg!$O$3),"Yes","No")</f>
        <v>Yes</v>
      </c>
      <c r="AB643">
        <v>2025</v>
      </c>
      <c r="AC643">
        <v>18</v>
      </c>
      <c r="AD643">
        <f ca="1">IF(ISERROR(VLOOKUP(Table1[[#This Row],[item]],INDIRECT("'"&amp;Table1[[#This Row],[sheet]]&amp;"'!$A$8:$T$42"),Table1[[#This Row],[r]],FALSE)),"",VLOOKUP(Table1[[#This Row],[item]],INDIRECT("'"&amp;Table1[[#This Row],[sheet]]&amp;"'!$A$8:$T$42"),Table1[[#This Row],[r]],FALSE))</f>
        <v>0</v>
      </c>
      <c r="AE643">
        <f>IF(VLOOKUP(Table1[[#This Row],[sheet]],Prg!$A$7:$J$31,10,FALSE)="","",VLOOKUP(Table1[[#This Row],[sheet]],Prg!$A$7:$J$31,10,FALSE)*1)</f>
        <v>1</v>
      </c>
      <c r="AF643" t="str">
        <f>VLOOKUP(Table1[[#This Row],[sheet]],Prg!$A$7:$J$31,5,FALSE)</f>
        <v>MALI REP</v>
      </c>
      <c r="AG643">
        <f>ROW()</f>
        <v>643</v>
      </c>
    </row>
    <row r="644" spans="24:33" hidden="1" x14ac:dyDescent="0.25">
      <c r="X644">
        <v>4</v>
      </c>
      <c r="Y644" t="s">
        <v>760</v>
      </c>
      <c r="Z644" t="s">
        <v>174</v>
      </c>
      <c r="AA644" t="str">
        <f>IF(OR(VLOOKUP(Table1[[#This Row],[sheet]],Prg!$A$7:$F$31,6,FALSE)=Prg!$O$2,VLOOKUP(Table1[[#This Row],[sheet]],Prg!$A$7:$F$31,6,FALSE)=Prg!$O$3),"Yes","No")</f>
        <v>Yes</v>
      </c>
      <c r="AB644">
        <v>2025</v>
      </c>
      <c r="AC644">
        <v>18</v>
      </c>
      <c r="AD644">
        <f ca="1">IF(ISERROR(VLOOKUP(Table1[[#This Row],[item]],INDIRECT("'"&amp;Table1[[#This Row],[sheet]]&amp;"'!$A$8:$T$42"),Table1[[#This Row],[r]],FALSE)),"",VLOOKUP(Table1[[#This Row],[item]],INDIRECT("'"&amp;Table1[[#This Row],[sheet]]&amp;"'!$A$8:$T$42"),Table1[[#This Row],[r]],FALSE))</f>
        <v>21477.17</v>
      </c>
      <c r="AE644">
        <f>IF(VLOOKUP(Table1[[#This Row],[sheet]],Prg!$A$7:$J$31,10,FALSE)="","",VLOOKUP(Table1[[#This Row],[sheet]],Prg!$A$7:$J$31,10,FALSE)*1)</f>
        <v>1</v>
      </c>
      <c r="AF644" t="str">
        <f>VLOOKUP(Table1[[#This Row],[sheet]],Prg!$A$7:$J$31,5,FALSE)</f>
        <v>MALI REP</v>
      </c>
      <c r="AG644">
        <f>ROW()</f>
        <v>644</v>
      </c>
    </row>
    <row r="645" spans="24:33" hidden="1" x14ac:dyDescent="0.25">
      <c r="X645">
        <v>4</v>
      </c>
      <c r="Y645" t="s">
        <v>761</v>
      </c>
      <c r="Z645" t="s">
        <v>762</v>
      </c>
      <c r="AA645" t="str">
        <f>IF(OR(VLOOKUP(Table1[[#This Row],[sheet]],Prg!$A$7:$F$31,6,FALSE)=Prg!$O$2,VLOOKUP(Table1[[#This Row],[sheet]],Prg!$A$7:$F$31,6,FALSE)=Prg!$O$3),"Yes","No")</f>
        <v>Yes</v>
      </c>
      <c r="AB645">
        <v>2025</v>
      </c>
      <c r="AC645">
        <v>18</v>
      </c>
      <c r="AD645">
        <f ca="1">IF(ISERROR(VLOOKUP(Table1[[#This Row],[item]],INDIRECT("'"&amp;Table1[[#This Row],[sheet]]&amp;"'!$A$8:$T$42"),Table1[[#This Row],[r]],FALSE)),"",VLOOKUP(Table1[[#This Row],[item]],INDIRECT("'"&amp;Table1[[#This Row],[sheet]]&amp;"'!$A$8:$T$42"),Table1[[#This Row],[r]],FALSE))</f>
        <v>0</v>
      </c>
      <c r="AE645">
        <f>IF(VLOOKUP(Table1[[#This Row],[sheet]],Prg!$A$7:$J$31,10,FALSE)="","",VLOOKUP(Table1[[#This Row],[sheet]],Prg!$A$7:$J$31,10,FALSE)*1)</f>
        <v>1</v>
      </c>
      <c r="AF645" t="str">
        <f>VLOOKUP(Table1[[#This Row],[sheet]],Prg!$A$7:$J$31,5,FALSE)</f>
        <v>MALI REP</v>
      </c>
      <c r="AG645">
        <f>ROW()</f>
        <v>645</v>
      </c>
    </row>
    <row r="646" spans="24:33" hidden="1" x14ac:dyDescent="0.25">
      <c r="X646">
        <v>4</v>
      </c>
      <c r="Y646" t="s">
        <v>763</v>
      </c>
      <c r="Z646" t="s">
        <v>178</v>
      </c>
      <c r="AA646" t="str">
        <f>IF(OR(VLOOKUP(Table1[[#This Row],[sheet]],Prg!$A$7:$F$31,6,FALSE)=Prg!$O$2,VLOOKUP(Table1[[#This Row],[sheet]],Prg!$A$7:$F$31,6,FALSE)=Prg!$O$3),"Yes","No")</f>
        <v>Yes</v>
      </c>
      <c r="AB646">
        <v>2025</v>
      </c>
      <c r="AC646">
        <v>18</v>
      </c>
      <c r="AD646">
        <f ca="1">IF(ISERROR(VLOOKUP(Table1[[#This Row],[item]],INDIRECT("'"&amp;Table1[[#This Row],[sheet]]&amp;"'!$A$8:$T$42"),Table1[[#This Row],[r]],FALSE)),"",VLOOKUP(Table1[[#This Row],[item]],INDIRECT("'"&amp;Table1[[#This Row],[sheet]]&amp;"'!$A$8:$T$42"),Table1[[#This Row],[r]],FALSE))</f>
        <v>210733.51476289899</v>
      </c>
      <c r="AE646">
        <f>IF(VLOOKUP(Table1[[#This Row],[sheet]],Prg!$A$7:$J$31,10,FALSE)="","",VLOOKUP(Table1[[#This Row],[sheet]],Prg!$A$7:$J$31,10,FALSE)*1)</f>
        <v>1</v>
      </c>
      <c r="AF646" t="str">
        <f>VLOOKUP(Table1[[#This Row],[sheet]],Prg!$A$7:$J$31,5,FALSE)</f>
        <v>MALI REP</v>
      </c>
      <c r="AG646">
        <f>ROW()</f>
        <v>646</v>
      </c>
    </row>
    <row r="647" spans="24:33" hidden="1" x14ac:dyDescent="0.25">
      <c r="X647">
        <v>4</v>
      </c>
      <c r="Y647" t="s">
        <v>764</v>
      </c>
      <c r="Z647" t="s">
        <v>109</v>
      </c>
      <c r="AA647" t="str">
        <f>IF(OR(VLOOKUP(Table1[[#This Row],[sheet]],Prg!$A$7:$F$31,6,FALSE)=Prg!$O$2,VLOOKUP(Table1[[#This Row],[sheet]],Prg!$A$7:$F$31,6,FALSE)=Prg!$O$3),"Yes","No")</f>
        <v>Yes</v>
      </c>
      <c r="AB647">
        <v>2025</v>
      </c>
      <c r="AC647">
        <v>18</v>
      </c>
      <c r="AD647">
        <f ca="1">IF(ISERROR(VLOOKUP(Table1[[#This Row],[item]],INDIRECT("'"&amp;Table1[[#This Row],[sheet]]&amp;"'!$A$8:$T$42"),Table1[[#This Row],[r]],FALSE)),"",VLOOKUP(Table1[[#This Row],[item]],INDIRECT("'"&amp;Table1[[#This Row],[sheet]]&amp;"'!$A$8:$T$42"),Table1[[#This Row],[r]],FALSE))</f>
        <v>5122.2885409526971</v>
      </c>
      <c r="AE647">
        <f>IF(VLOOKUP(Table1[[#This Row],[sheet]],Prg!$A$7:$J$31,10,FALSE)="","",VLOOKUP(Table1[[#This Row],[sheet]],Prg!$A$7:$J$31,10,FALSE)*1)</f>
        <v>1</v>
      </c>
      <c r="AF647" t="str">
        <f>VLOOKUP(Table1[[#This Row],[sheet]],Prg!$A$7:$J$31,5,FALSE)</f>
        <v>MALI REP</v>
      </c>
      <c r="AG647">
        <f>ROW()</f>
        <v>647</v>
      </c>
    </row>
    <row r="648" spans="24:33" hidden="1" x14ac:dyDescent="0.25">
      <c r="X648">
        <v>4</v>
      </c>
      <c r="Y648" t="s">
        <v>765</v>
      </c>
      <c r="Z648" t="s">
        <v>117</v>
      </c>
      <c r="AA648" t="str">
        <f>IF(OR(VLOOKUP(Table1[[#This Row],[sheet]],Prg!$A$7:$F$31,6,FALSE)=Prg!$O$2,VLOOKUP(Table1[[#This Row],[sheet]],Prg!$A$7:$F$31,6,FALSE)=Prg!$O$3),"Yes","No")</f>
        <v>Yes</v>
      </c>
      <c r="AB648">
        <v>2025</v>
      </c>
      <c r="AC648">
        <v>18</v>
      </c>
      <c r="AD648">
        <f ca="1">IF(ISERROR(VLOOKUP(Table1[[#This Row],[item]],INDIRECT("'"&amp;Table1[[#This Row],[sheet]]&amp;"'!$A$8:$T$42"),Table1[[#This Row],[r]],FALSE)),"",VLOOKUP(Table1[[#This Row],[item]],INDIRECT("'"&amp;Table1[[#This Row],[sheet]]&amp;"'!$A$8:$T$42"),Table1[[#This Row],[r]],FALSE))</f>
        <v>72501.929999999993</v>
      </c>
      <c r="AE648">
        <f>IF(VLOOKUP(Table1[[#This Row],[sheet]],Prg!$A$7:$J$31,10,FALSE)="","",VLOOKUP(Table1[[#This Row],[sheet]],Prg!$A$7:$J$31,10,FALSE)*1)</f>
        <v>1</v>
      </c>
      <c r="AF648" t="str">
        <f>VLOOKUP(Table1[[#This Row],[sheet]],Prg!$A$7:$J$31,5,FALSE)</f>
        <v>MALI REP</v>
      </c>
      <c r="AG648">
        <f>ROW()</f>
        <v>648</v>
      </c>
    </row>
    <row r="649" spans="24:33" hidden="1" x14ac:dyDescent="0.25">
      <c r="X649">
        <v>4</v>
      </c>
      <c r="Y649" t="s">
        <v>766</v>
      </c>
      <c r="Z649" t="s">
        <v>767</v>
      </c>
      <c r="AA649" t="str">
        <f>IF(OR(VLOOKUP(Table1[[#This Row],[sheet]],Prg!$A$7:$F$31,6,FALSE)=Prg!$O$2,VLOOKUP(Table1[[#This Row],[sheet]],Prg!$A$7:$F$31,6,FALSE)=Prg!$O$3),"Yes","No")</f>
        <v>Yes</v>
      </c>
      <c r="AB649">
        <v>2025</v>
      </c>
      <c r="AC649">
        <v>18</v>
      </c>
      <c r="AD649">
        <f ca="1">IF(ISERROR(VLOOKUP(Table1[[#This Row],[item]],INDIRECT("'"&amp;Table1[[#This Row],[sheet]]&amp;"'!$A$8:$T$42"),Table1[[#This Row],[r]],FALSE)),"",VLOOKUP(Table1[[#This Row],[item]],INDIRECT("'"&amp;Table1[[#This Row],[sheet]]&amp;"'!$A$8:$T$42"),Table1[[#This Row],[r]],FALSE))</f>
        <v>133109.29622194631</v>
      </c>
      <c r="AE649">
        <f>IF(VLOOKUP(Table1[[#This Row],[sheet]],Prg!$A$7:$J$31,10,FALSE)="","",VLOOKUP(Table1[[#This Row],[sheet]],Prg!$A$7:$J$31,10,FALSE)*1)</f>
        <v>1</v>
      </c>
      <c r="AF649" t="str">
        <f>VLOOKUP(Table1[[#This Row],[sheet]],Prg!$A$7:$J$31,5,FALSE)</f>
        <v>MALI REP</v>
      </c>
      <c r="AG649">
        <f>ROW()</f>
        <v>649</v>
      </c>
    </row>
    <row r="650" spans="24:33" hidden="1" x14ac:dyDescent="0.25">
      <c r="X650">
        <v>4</v>
      </c>
      <c r="Y650" t="s">
        <v>768</v>
      </c>
      <c r="Z650" t="s">
        <v>182</v>
      </c>
      <c r="AA650" t="str">
        <f>IF(OR(VLOOKUP(Table1[[#This Row],[sheet]],Prg!$A$7:$F$31,6,FALSE)=Prg!$O$2,VLOOKUP(Table1[[#This Row],[sheet]],Prg!$A$7:$F$31,6,FALSE)=Prg!$O$3),"Yes","No")</f>
        <v>Yes</v>
      </c>
      <c r="AB650">
        <v>2025</v>
      </c>
      <c r="AC650">
        <v>18</v>
      </c>
      <c r="AD650">
        <f ca="1">IF(ISERROR(VLOOKUP(Table1[[#This Row],[item]],INDIRECT("'"&amp;Table1[[#This Row],[sheet]]&amp;"'!$A$8:$T$42"),Table1[[#This Row],[r]],FALSE)),"",VLOOKUP(Table1[[#This Row],[item]],INDIRECT("'"&amp;Table1[[#This Row],[sheet]]&amp;"'!$A$8:$T$42"),Table1[[#This Row],[r]],FALSE))</f>
        <v>4000</v>
      </c>
      <c r="AE650">
        <f>IF(VLOOKUP(Table1[[#This Row],[sheet]],Prg!$A$7:$J$31,10,FALSE)="","",VLOOKUP(Table1[[#This Row],[sheet]],Prg!$A$7:$J$31,10,FALSE)*1)</f>
        <v>1</v>
      </c>
      <c r="AF650" t="str">
        <f>VLOOKUP(Table1[[#This Row],[sheet]],Prg!$A$7:$J$31,5,FALSE)</f>
        <v>MALI REP</v>
      </c>
      <c r="AG650">
        <f>ROW()</f>
        <v>650</v>
      </c>
    </row>
    <row r="651" spans="24:33" hidden="1" x14ac:dyDescent="0.25">
      <c r="X651">
        <v>4</v>
      </c>
      <c r="Y651" t="s">
        <v>769</v>
      </c>
      <c r="Z651" t="s">
        <v>184</v>
      </c>
      <c r="AA651" t="str">
        <f>IF(OR(VLOOKUP(Table1[[#This Row],[sheet]],Prg!$A$7:$F$31,6,FALSE)=Prg!$O$2,VLOOKUP(Table1[[#This Row],[sheet]],Prg!$A$7:$F$31,6,FALSE)=Prg!$O$3),"Yes","No")</f>
        <v>Yes</v>
      </c>
      <c r="AB651">
        <v>2025</v>
      </c>
      <c r="AC651">
        <v>18</v>
      </c>
      <c r="AD651">
        <f ca="1">IF(ISERROR(VLOOKUP(Table1[[#This Row],[item]],INDIRECT("'"&amp;Table1[[#This Row],[sheet]]&amp;"'!$A$8:$T$42"),Table1[[#This Row],[r]],FALSE)),"",VLOOKUP(Table1[[#This Row],[item]],INDIRECT("'"&amp;Table1[[#This Row],[sheet]]&amp;"'!$A$8:$T$42"),Table1[[#This Row],[r]],FALSE))</f>
        <v>0</v>
      </c>
      <c r="AE651">
        <f>IF(VLOOKUP(Table1[[#This Row],[sheet]],Prg!$A$7:$J$31,10,FALSE)="","",VLOOKUP(Table1[[#This Row],[sheet]],Prg!$A$7:$J$31,10,FALSE)*1)</f>
        <v>1</v>
      </c>
      <c r="AF651" t="str">
        <f>VLOOKUP(Table1[[#This Row],[sheet]],Prg!$A$7:$J$31,5,FALSE)</f>
        <v>MALI REP</v>
      </c>
      <c r="AG651">
        <f>ROW()</f>
        <v>651</v>
      </c>
    </row>
    <row r="652" spans="24:33" hidden="1" x14ac:dyDescent="0.25">
      <c r="X652">
        <v>4</v>
      </c>
      <c r="Y652" t="s">
        <v>770</v>
      </c>
      <c r="Z652" t="s">
        <v>186</v>
      </c>
      <c r="AA652" t="str">
        <f>IF(OR(VLOOKUP(Table1[[#This Row],[sheet]],Prg!$A$7:$F$31,6,FALSE)=Prg!$O$2,VLOOKUP(Table1[[#This Row],[sheet]],Prg!$A$7:$F$31,6,FALSE)=Prg!$O$3),"Yes","No")</f>
        <v>Yes</v>
      </c>
      <c r="AB652">
        <v>2025</v>
      </c>
      <c r="AC652">
        <v>18</v>
      </c>
      <c r="AD652">
        <f ca="1">IF(ISERROR(VLOOKUP(Table1[[#This Row],[item]],INDIRECT("'"&amp;Table1[[#This Row],[sheet]]&amp;"'!$A$8:$T$42"),Table1[[#This Row],[r]],FALSE)),"",VLOOKUP(Table1[[#This Row],[item]],INDIRECT("'"&amp;Table1[[#This Row],[sheet]]&amp;"'!$A$8:$T$42"),Table1[[#This Row],[r]],FALSE))</f>
        <v>4000</v>
      </c>
      <c r="AE652">
        <f>IF(VLOOKUP(Table1[[#This Row],[sheet]],Prg!$A$7:$J$31,10,FALSE)="","",VLOOKUP(Table1[[#This Row],[sheet]],Prg!$A$7:$J$31,10,FALSE)*1)</f>
        <v>1</v>
      </c>
      <c r="AF652" t="str">
        <f>VLOOKUP(Table1[[#This Row],[sheet]],Prg!$A$7:$J$31,5,FALSE)</f>
        <v>MALI REP</v>
      </c>
      <c r="AG652">
        <f>ROW()</f>
        <v>652</v>
      </c>
    </row>
    <row r="653" spans="24:33" hidden="1" x14ac:dyDescent="0.25">
      <c r="X653">
        <v>4</v>
      </c>
      <c r="Y653" t="s">
        <v>771</v>
      </c>
      <c r="Z653" t="s">
        <v>772</v>
      </c>
      <c r="AA653" t="str">
        <f>IF(OR(VLOOKUP(Table1[[#This Row],[sheet]],Prg!$A$7:$F$31,6,FALSE)=Prg!$O$2,VLOOKUP(Table1[[#This Row],[sheet]],Prg!$A$7:$F$31,6,FALSE)=Prg!$O$3),"Yes","No")</f>
        <v>Yes</v>
      </c>
      <c r="AB653">
        <v>2025</v>
      </c>
      <c r="AC653">
        <v>18</v>
      </c>
      <c r="AD653">
        <f ca="1">IF(ISERROR(VLOOKUP(Table1[[#This Row],[item]],INDIRECT("'"&amp;Table1[[#This Row],[sheet]]&amp;"'!$A$8:$T$42"),Table1[[#This Row],[r]],FALSE)),"",VLOOKUP(Table1[[#This Row],[item]],INDIRECT("'"&amp;Table1[[#This Row],[sheet]]&amp;"'!$A$8:$T$42"),Table1[[#This Row],[r]],FALSE))</f>
        <v>0</v>
      </c>
      <c r="AE653">
        <f>IF(VLOOKUP(Table1[[#This Row],[sheet]],Prg!$A$7:$J$31,10,FALSE)="","",VLOOKUP(Table1[[#This Row],[sheet]],Prg!$A$7:$J$31,10,FALSE)*1)</f>
        <v>1</v>
      </c>
      <c r="AF653" t="str">
        <f>VLOOKUP(Table1[[#This Row],[sheet]],Prg!$A$7:$J$31,5,FALSE)</f>
        <v>MALI REP</v>
      </c>
      <c r="AG653">
        <f>ROW()</f>
        <v>653</v>
      </c>
    </row>
    <row r="654" spans="24:33" hidden="1" x14ac:dyDescent="0.25">
      <c r="X654">
        <v>4</v>
      </c>
      <c r="Y654" t="s">
        <v>773</v>
      </c>
      <c r="Z654" t="s">
        <v>190</v>
      </c>
      <c r="AA654" t="str">
        <f>IF(OR(VLOOKUP(Table1[[#This Row],[sheet]],Prg!$A$7:$F$31,6,FALSE)=Prg!$O$2,VLOOKUP(Table1[[#This Row],[sheet]],Prg!$A$7:$F$31,6,FALSE)=Prg!$O$3),"Yes","No")</f>
        <v>Yes</v>
      </c>
      <c r="AB654">
        <v>2025</v>
      </c>
      <c r="AC654">
        <v>18</v>
      </c>
      <c r="AD654">
        <f ca="1">IF(ISERROR(VLOOKUP(Table1[[#This Row],[item]],INDIRECT("'"&amp;Table1[[#This Row],[sheet]]&amp;"'!$A$8:$T$42"),Table1[[#This Row],[r]],FALSE)),"",VLOOKUP(Table1[[#This Row],[item]],INDIRECT("'"&amp;Table1[[#This Row],[sheet]]&amp;"'!$A$8:$T$42"),Table1[[#This Row],[r]],FALSE))</f>
        <v>701068.08364392282</v>
      </c>
      <c r="AE654">
        <f>IF(VLOOKUP(Table1[[#This Row],[sheet]],Prg!$A$7:$J$31,10,FALSE)="","",VLOOKUP(Table1[[#This Row],[sheet]],Prg!$A$7:$J$31,10,FALSE)*1)</f>
        <v>1</v>
      </c>
      <c r="AF654" t="str">
        <f>VLOOKUP(Table1[[#This Row],[sheet]],Prg!$A$7:$J$31,5,FALSE)</f>
        <v>MALI REP</v>
      </c>
      <c r="AG654">
        <f>ROW()</f>
        <v>654</v>
      </c>
    </row>
    <row r="655" spans="24:33" hidden="1" x14ac:dyDescent="0.25">
      <c r="X655">
        <v>4</v>
      </c>
      <c r="Y655" t="s">
        <v>709</v>
      </c>
      <c r="Z655" t="s">
        <v>192</v>
      </c>
      <c r="AA655" t="str">
        <f>IF(OR(VLOOKUP(Table1[[#This Row],[sheet]],Prg!$A$7:$F$31,6,FALSE)=Prg!$O$2,VLOOKUP(Table1[[#This Row],[sheet]],Prg!$A$7:$F$31,6,FALSE)=Prg!$O$3),"Yes","No")</f>
        <v>Yes</v>
      </c>
      <c r="AB655">
        <v>2025</v>
      </c>
      <c r="AC655">
        <v>18</v>
      </c>
      <c r="AD655">
        <f ca="1">IF(ISERROR(VLOOKUP(Table1[[#This Row],[item]],INDIRECT("'"&amp;Table1[[#This Row],[sheet]]&amp;"'!$A$8:$T$42"),Table1[[#This Row],[r]],FALSE)),"",VLOOKUP(Table1[[#This Row],[item]],INDIRECT("'"&amp;Table1[[#This Row],[sheet]]&amp;"'!$A$8:$T$42"),Table1[[#This Row],[r]],FALSE))</f>
        <v>31800.874691747991</v>
      </c>
      <c r="AE655">
        <f>IF(VLOOKUP(Table1[[#This Row],[sheet]],Prg!$A$7:$J$31,10,FALSE)="","",VLOOKUP(Table1[[#This Row],[sheet]],Prg!$A$7:$J$31,10,FALSE)*1)</f>
        <v>1</v>
      </c>
      <c r="AF655" t="str">
        <f>VLOOKUP(Table1[[#This Row],[sheet]],Prg!$A$7:$J$31,5,FALSE)</f>
        <v>MALI REP</v>
      </c>
      <c r="AG655">
        <f>ROW()</f>
        <v>655</v>
      </c>
    </row>
    <row r="656" spans="24:33" hidden="1" x14ac:dyDescent="0.25">
      <c r="X656">
        <v>4</v>
      </c>
      <c r="Y656" t="s">
        <v>774</v>
      </c>
      <c r="Z656" t="s">
        <v>194</v>
      </c>
      <c r="AA656" t="str">
        <f>IF(OR(VLOOKUP(Table1[[#This Row],[sheet]],Prg!$A$7:$F$31,6,FALSE)=Prg!$O$2,VLOOKUP(Table1[[#This Row],[sheet]],Prg!$A$7:$F$31,6,FALSE)=Prg!$O$3),"Yes","No")</f>
        <v>Yes</v>
      </c>
      <c r="AB656">
        <v>2025</v>
      </c>
      <c r="AC656">
        <v>18</v>
      </c>
      <c r="AD656">
        <f ca="1">IF(ISERROR(VLOOKUP(Table1[[#This Row],[item]],INDIRECT("'"&amp;Table1[[#This Row],[sheet]]&amp;"'!$A$8:$T$42"),Table1[[#This Row],[r]],FALSE)),"",VLOOKUP(Table1[[#This Row],[item]],INDIRECT("'"&amp;Table1[[#This Row],[sheet]]&amp;"'!$A$8:$T$42"),Table1[[#This Row],[r]],FALSE))</f>
        <v>0</v>
      </c>
      <c r="AE656">
        <f>IF(VLOOKUP(Table1[[#This Row],[sheet]],Prg!$A$7:$J$31,10,FALSE)="","",VLOOKUP(Table1[[#This Row],[sheet]],Prg!$A$7:$J$31,10,FALSE)*1)</f>
        <v>1</v>
      </c>
      <c r="AF656" t="str">
        <f>VLOOKUP(Table1[[#This Row],[sheet]],Prg!$A$7:$J$31,5,FALSE)</f>
        <v>MALI REP</v>
      </c>
      <c r="AG656">
        <f>ROW()</f>
        <v>656</v>
      </c>
    </row>
    <row r="657" spans="24:33" hidden="1" x14ac:dyDescent="0.25">
      <c r="X657">
        <v>4</v>
      </c>
      <c r="Y657" t="s">
        <v>775</v>
      </c>
      <c r="Z657" t="s">
        <v>196</v>
      </c>
      <c r="AA657" t="str">
        <f>IF(OR(VLOOKUP(Table1[[#This Row],[sheet]],Prg!$A$7:$F$31,6,FALSE)=Prg!$O$2,VLOOKUP(Table1[[#This Row],[sheet]],Prg!$A$7:$F$31,6,FALSE)=Prg!$O$3),"Yes","No")</f>
        <v>Yes</v>
      </c>
      <c r="AB657">
        <v>2025</v>
      </c>
      <c r="AC657">
        <v>18</v>
      </c>
      <c r="AD657">
        <f ca="1">IF(ISERROR(VLOOKUP(Table1[[#This Row],[item]],INDIRECT("'"&amp;Table1[[#This Row],[sheet]]&amp;"'!$A$8:$T$42"),Table1[[#This Row],[r]],FALSE)),"",VLOOKUP(Table1[[#This Row],[item]],INDIRECT("'"&amp;Table1[[#This Row],[sheet]]&amp;"'!$A$8:$T$42"),Table1[[#This Row],[r]],FALSE))</f>
        <v>1684.5621540930742</v>
      </c>
      <c r="AE657">
        <f>IF(VLOOKUP(Table1[[#This Row],[sheet]],Prg!$A$7:$J$31,10,FALSE)="","",VLOOKUP(Table1[[#This Row],[sheet]],Prg!$A$7:$J$31,10,FALSE)*1)</f>
        <v>1</v>
      </c>
      <c r="AF657" t="str">
        <f>VLOOKUP(Table1[[#This Row],[sheet]],Prg!$A$7:$J$31,5,FALSE)</f>
        <v>MALI REP</v>
      </c>
      <c r="AG657">
        <f>ROW()</f>
        <v>657</v>
      </c>
    </row>
    <row r="658" spans="24:33" hidden="1" x14ac:dyDescent="0.25">
      <c r="X658">
        <v>4</v>
      </c>
      <c r="Y658" t="s">
        <v>776</v>
      </c>
      <c r="Z658" t="s">
        <v>605</v>
      </c>
      <c r="AA658" t="str">
        <f>IF(OR(VLOOKUP(Table1[[#This Row],[sheet]],Prg!$A$7:$F$31,6,FALSE)=Prg!$O$2,VLOOKUP(Table1[[#This Row],[sheet]],Prg!$A$7:$F$31,6,FALSE)=Prg!$O$3),"Yes","No")</f>
        <v>Yes</v>
      </c>
      <c r="AB658">
        <v>2025</v>
      </c>
      <c r="AC658">
        <v>18</v>
      </c>
      <c r="AD658">
        <f ca="1">IF(ISERROR(VLOOKUP(Table1[[#This Row],[item]],INDIRECT("'"&amp;Table1[[#This Row],[sheet]]&amp;"'!$A$8:$T$42"),Table1[[#This Row],[r]],FALSE)),"",VLOOKUP(Table1[[#This Row],[item]],INDIRECT("'"&amp;Table1[[#This Row],[sheet]]&amp;"'!$A$8:$T$42"),Table1[[#This Row],[r]],FALSE))</f>
        <v>30116.312537654918</v>
      </c>
      <c r="AE658">
        <f>IF(VLOOKUP(Table1[[#This Row],[sheet]],Prg!$A$7:$J$31,10,FALSE)="","",VLOOKUP(Table1[[#This Row],[sheet]],Prg!$A$7:$J$31,10,FALSE)*1)</f>
        <v>1</v>
      </c>
      <c r="AF658" t="str">
        <f>VLOOKUP(Table1[[#This Row],[sheet]],Prg!$A$7:$J$31,5,FALSE)</f>
        <v>MALI REP</v>
      </c>
      <c r="AG658">
        <f>ROW()</f>
        <v>658</v>
      </c>
    </row>
    <row r="659" spans="24:33" hidden="1" x14ac:dyDescent="0.25">
      <c r="X659">
        <v>4</v>
      </c>
      <c r="Y659" t="s">
        <v>711</v>
      </c>
      <c r="Z659" t="s">
        <v>200</v>
      </c>
      <c r="AA659" t="str">
        <f>IF(OR(VLOOKUP(Table1[[#This Row],[sheet]],Prg!$A$7:$F$31,6,FALSE)=Prg!$O$2,VLOOKUP(Table1[[#This Row],[sheet]],Prg!$A$7:$F$31,6,FALSE)=Prg!$O$3),"Yes","No")</f>
        <v>Yes</v>
      </c>
      <c r="AB659">
        <v>2025</v>
      </c>
      <c r="AC659">
        <v>18</v>
      </c>
      <c r="AD659">
        <f ca="1">IF(ISERROR(VLOOKUP(Table1[[#This Row],[item]],INDIRECT("'"&amp;Table1[[#This Row],[sheet]]&amp;"'!$A$8:$T$42"),Table1[[#This Row],[r]],FALSE)),"",VLOOKUP(Table1[[#This Row],[item]],INDIRECT("'"&amp;Table1[[#This Row],[sheet]]&amp;"'!$A$8:$T$42"),Table1[[#This Row],[r]],FALSE))</f>
        <v>449612.75</v>
      </c>
      <c r="AE659">
        <f>IF(VLOOKUP(Table1[[#This Row],[sheet]],Prg!$A$7:$J$31,10,FALSE)="","",VLOOKUP(Table1[[#This Row],[sheet]],Prg!$A$7:$J$31,10,FALSE)*1)</f>
        <v>1</v>
      </c>
      <c r="AF659" t="str">
        <f>VLOOKUP(Table1[[#This Row],[sheet]],Prg!$A$7:$J$31,5,FALSE)</f>
        <v>MALI REP</v>
      </c>
      <c r="AG659">
        <f>ROW()</f>
        <v>659</v>
      </c>
    </row>
    <row r="660" spans="24:33" hidden="1" x14ac:dyDescent="0.25">
      <c r="X660">
        <v>4</v>
      </c>
      <c r="Y660" t="s">
        <v>777</v>
      </c>
      <c r="Z660" t="s">
        <v>202</v>
      </c>
      <c r="AA660" t="str">
        <f>IF(OR(VLOOKUP(Table1[[#This Row],[sheet]],Prg!$A$7:$F$31,6,FALSE)=Prg!$O$2,VLOOKUP(Table1[[#This Row],[sheet]],Prg!$A$7:$F$31,6,FALSE)=Prg!$O$3),"Yes","No")</f>
        <v>Yes</v>
      </c>
      <c r="AB660">
        <v>2025</v>
      </c>
      <c r="AC660">
        <v>18</v>
      </c>
      <c r="AD660">
        <f ca="1">IF(ISERROR(VLOOKUP(Table1[[#This Row],[item]],INDIRECT("'"&amp;Table1[[#This Row],[sheet]]&amp;"'!$A$8:$T$42"),Table1[[#This Row],[r]],FALSE)),"",VLOOKUP(Table1[[#This Row],[item]],INDIRECT("'"&amp;Table1[[#This Row],[sheet]]&amp;"'!$A$8:$T$42"),Table1[[#This Row],[r]],FALSE))</f>
        <v>7096.02</v>
      </c>
      <c r="AE660">
        <f>IF(VLOOKUP(Table1[[#This Row],[sheet]],Prg!$A$7:$J$31,10,FALSE)="","",VLOOKUP(Table1[[#This Row],[sheet]],Prg!$A$7:$J$31,10,FALSE)*1)</f>
        <v>1</v>
      </c>
      <c r="AF660" t="str">
        <f>VLOOKUP(Table1[[#This Row],[sheet]],Prg!$A$7:$J$31,5,FALSE)</f>
        <v>MALI REP</v>
      </c>
      <c r="AG660">
        <f>ROW()</f>
        <v>660</v>
      </c>
    </row>
    <row r="661" spans="24:33" hidden="1" x14ac:dyDescent="0.25">
      <c r="X661">
        <v>4</v>
      </c>
      <c r="Y661" t="s">
        <v>778</v>
      </c>
      <c r="Z661" t="s">
        <v>204</v>
      </c>
      <c r="AA661" t="str">
        <f>IF(OR(VLOOKUP(Table1[[#This Row],[sheet]],Prg!$A$7:$F$31,6,FALSE)=Prg!$O$2,VLOOKUP(Table1[[#This Row],[sheet]],Prg!$A$7:$F$31,6,FALSE)=Prg!$O$3),"Yes","No")</f>
        <v>Yes</v>
      </c>
      <c r="AB661">
        <v>2025</v>
      </c>
      <c r="AC661">
        <v>18</v>
      </c>
      <c r="AD661">
        <f ca="1">IF(ISERROR(VLOOKUP(Table1[[#This Row],[item]],INDIRECT("'"&amp;Table1[[#This Row],[sheet]]&amp;"'!$A$8:$T$42"),Table1[[#This Row],[r]],FALSE)),"",VLOOKUP(Table1[[#This Row],[item]],INDIRECT("'"&amp;Table1[[#This Row],[sheet]]&amp;"'!$A$8:$T$42"),Table1[[#This Row],[r]],FALSE))</f>
        <v>26015</v>
      </c>
      <c r="AE661">
        <f>IF(VLOOKUP(Table1[[#This Row],[sheet]],Prg!$A$7:$J$31,10,FALSE)="","",VLOOKUP(Table1[[#This Row],[sheet]],Prg!$A$7:$J$31,10,FALSE)*1)</f>
        <v>1</v>
      </c>
      <c r="AF661" t="str">
        <f>VLOOKUP(Table1[[#This Row],[sheet]],Prg!$A$7:$J$31,5,FALSE)</f>
        <v>MALI REP</v>
      </c>
      <c r="AG661">
        <f>ROW()</f>
        <v>661</v>
      </c>
    </row>
    <row r="662" spans="24:33" hidden="1" x14ac:dyDescent="0.25">
      <c r="X662">
        <v>4</v>
      </c>
      <c r="Y662" t="s">
        <v>779</v>
      </c>
      <c r="Z662" t="s">
        <v>605</v>
      </c>
      <c r="AA662" t="str">
        <f>IF(OR(VLOOKUP(Table1[[#This Row],[sheet]],Prg!$A$7:$F$31,6,FALSE)=Prg!$O$2,VLOOKUP(Table1[[#This Row],[sheet]],Prg!$A$7:$F$31,6,FALSE)=Prg!$O$3),"Yes","No")</f>
        <v>Yes</v>
      </c>
      <c r="AB662">
        <v>2025</v>
      </c>
      <c r="AC662">
        <v>18</v>
      </c>
      <c r="AD662">
        <f ca="1">IF(ISERROR(VLOOKUP(Table1[[#This Row],[item]],INDIRECT("'"&amp;Table1[[#This Row],[sheet]]&amp;"'!$A$8:$T$42"),Table1[[#This Row],[r]],FALSE)),"",VLOOKUP(Table1[[#This Row],[item]],INDIRECT("'"&amp;Table1[[#This Row],[sheet]]&amp;"'!$A$8:$T$42"),Table1[[#This Row],[r]],FALSE))</f>
        <v>416501.73</v>
      </c>
      <c r="AE662">
        <f>IF(VLOOKUP(Table1[[#This Row],[sheet]],Prg!$A$7:$J$31,10,FALSE)="","",VLOOKUP(Table1[[#This Row],[sheet]],Prg!$A$7:$J$31,10,FALSE)*1)</f>
        <v>1</v>
      </c>
      <c r="AF662" t="str">
        <f>VLOOKUP(Table1[[#This Row],[sheet]],Prg!$A$7:$J$31,5,FALSE)</f>
        <v>MALI REP</v>
      </c>
      <c r="AG662">
        <f>ROW()</f>
        <v>662</v>
      </c>
    </row>
    <row r="663" spans="24:33" hidden="1" x14ac:dyDescent="0.25">
      <c r="X663">
        <v>4</v>
      </c>
      <c r="Y663" t="s">
        <v>712</v>
      </c>
      <c r="Z663" t="s">
        <v>780</v>
      </c>
      <c r="AA663" t="str">
        <f>IF(OR(VLOOKUP(Table1[[#This Row],[sheet]],Prg!$A$7:$F$31,6,FALSE)=Prg!$O$2,VLOOKUP(Table1[[#This Row],[sheet]],Prg!$A$7:$F$31,6,FALSE)=Prg!$O$3),"Yes","No")</f>
        <v>Yes</v>
      </c>
      <c r="AB663">
        <v>2025</v>
      </c>
      <c r="AC663">
        <v>18</v>
      </c>
      <c r="AD663">
        <f ca="1">IF(ISERROR(VLOOKUP(Table1[[#This Row],[item]],INDIRECT("'"&amp;Table1[[#This Row],[sheet]]&amp;"'!$A$8:$T$42"),Table1[[#This Row],[r]],FALSE)),"",VLOOKUP(Table1[[#This Row],[item]],INDIRECT("'"&amp;Table1[[#This Row],[sheet]]&amp;"'!$A$8:$T$42"),Table1[[#This Row],[r]],FALSE))</f>
        <v>219654.45895217487</v>
      </c>
      <c r="AE663">
        <f>IF(VLOOKUP(Table1[[#This Row],[sheet]],Prg!$A$7:$J$31,10,FALSE)="","",VLOOKUP(Table1[[#This Row],[sheet]],Prg!$A$7:$J$31,10,FALSE)*1)</f>
        <v>1</v>
      </c>
      <c r="AF663" t="str">
        <f>VLOOKUP(Table1[[#This Row],[sheet]],Prg!$A$7:$J$31,5,FALSE)</f>
        <v>MALI REP</v>
      </c>
      <c r="AG663">
        <f>ROW()</f>
        <v>663</v>
      </c>
    </row>
    <row r="664" spans="24:33" hidden="1" x14ac:dyDescent="0.25">
      <c r="X664">
        <v>4</v>
      </c>
      <c r="Y664" t="s">
        <v>781</v>
      </c>
      <c r="Z664" t="s">
        <v>782</v>
      </c>
      <c r="AA664" t="str">
        <f>IF(OR(VLOOKUP(Table1[[#This Row],[sheet]],Prg!$A$7:$F$31,6,FALSE)=Prg!$O$2,VLOOKUP(Table1[[#This Row],[sheet]],Prg!$A$7:$F$31,6,FALSE)=Prg!$O$3),"Yes","No")</f>
        <v>Yes</v>
      </c>
      <c r="AB664">
        <v>2025</v>
      </c>
      <c r="AC664">
        <v>18</v>
      </c>
      <c r="AD664">
        <f ca="1">IF(ISERROR(VLOOKUP(Table1[[#This Row],[item]],INDIRECT("'"&amp;Table1[[#This Row],[sheet]]&amp;"'!$A$8:$T$42"),Table1[[#This Row],[r]],FALSE)),"",VLOOKUP(Table1[[#This Row],[item]],INDIRECT("'"&amp;Table1[[#This Row],[sheet]]&amp;"'!$A$8:$T$42"),Table1[[#This Row],[r]],FALSE))</f>
        <v>0</v>
      </c>
      <c r="AE664">
        <f>IF(VLOOKUP(Table1[[#This Row],[sheet]],Prg!$A$7:$J$31,10,FALSE)="","",VLOOKUP(Table1[[#This Row],[sheet]],Prg!$A$7:$J$31,10,FALSE)*1)</f>
        <v>1</v>
      </c>
      <c r="AF664" t="str">
        <f>VLOOKUP(Table1[[#This Row],[sheet]],Prg!$A$7:$J$31,5,FALSE)</f>
        <v>MALI REP</v>
      </c>
      <c r="AG664">
        <f>ROW()</f>
        <v>664</v>
      </c>
    </row>
    <row r="665" spans="24:33" hidden="1" x14ac:dyDescent="0.25">
      <c r="X665">
        <v>4</v>
      </c>
      <c r="Y665" t="s">
        <v>783</v>
      </c>
      <c r="Z665" t="s">
        <v>784</v>
      </c>
      <c r="AA665" t="str">
        <f>IF(OR(VLOOKUP(Table1[[#This Row],[sheet]],Prg!$A$7:$F$31,6,FALSE)=Prg!$O$2,VLOOKUP(Table1[[#This Row],[sheet]],Prg!$A$7:$F$31,6,FALSE)=Prg!$O$3),"Yes","No")</f>
        <v>Yes</v>
      </c>
      <c r="AB665">
        <v>2025</v>
      </c>
      <c r="AC665">
        <v>18</v>
      </c>
      <c r="AD665">
        <f ca="1">IF(ISERROR(VLOOKUP(Table1[[#This Row],[item]],INDIRECT("'"&amp;Table1[[#This Row],[sheet]]&amp;"'!$A$8:$T$42"),Table1[[#This Row],[r]],FALSE)),"",VLOOKUP(Table1[[#This Row],[item]],INDIRECT("'"&amp;Table1[[#This Row],[sheet]]&amp;"'!$A$8:$T$42"),Table1[[#This Row],[r]],FALSE))</f>
        <v>0</v>
      </c>
      <c r="AE665">
        <f>IF(VLOOKUP(Table1[[#This Row],[sheet]],Prg!$A$7:$J$31,10,FALSE)="","",VLOOKUP(Table1[[#This Row],[sheet]],Prg!$A$7:$J$31,10,FALSE)*1)</f>
        <v>1</v>
      </c>
      <c r="AF665" t="str">
        <f>VLOOKUP(Table1[[#This Row],[sheet]],Prg!$A$7:$J$31,5,FALSE)</f>
        <v>MALI REP</v>
      </c>
      <c r="AG665">
        <f>ROW()</f>
        <v>665</v>
      </c>
    </row>
    <row r="666" spans="24:33" hidden="1" x14ac:dyDescent="0.25">
      <c r="X666">
        <v>4</v>
      </c>
      <c r="Y666" t="s">
        <v>785</v>
      </c>
      <c r="Z666" t="s">
        <v>786</v>
      </c>
      <c r="AA666" t="str">
        <f>IF(OR(VLOOKUP(Table1[[#This Row],[sheet]],Prg!$A$7:$F$31,6,FALSE)=Prg!$O$2,VLOOKUP(Table1[[#This Row],[sheet]],Prg!$A$7:$F$31,6,FALSE)=Prg!$O$3),"Yes","No")</f>
        <v>Yes</v>
      </c>
      <c r="AB666">
        <v>2025</v>
      </c>
      <c r="AC666">
        <v>18</v>
      </c>
      <c r="AD666">
        <f ca="1">IF(ISERROR(VLOOKUP(Table1[[#This Row],[item]],INDIRECT("'"&amp;Table1[[#This Row],[sheet]]&amp;"'!$A$8:$T$42"),Table1[[#This Row],[r]],FALSE)),"",VLOOKUP(Table1[[#This Row],[item]],INDIRECT("'"&amp;Table1[[#This Row],[sheet]]&amp;"'!$A$8:$T$42"),Table1[[#This Row],[r]],FALSE))</f>
        <v>219654.45895217487</v>
      </c>
      <c r="AE666">
        <f>IF(VLOOKUP(Table1[[#This Row],[sheet]],Prg!$A$7:$J$31,10,FALSE)="","",VLOOKUP(Table1[[#This Row],[sheet]],Prg!$A$7:$J$31,10,FALSE)*1)</f>
        <v>1</v>
      </c>
      <c r="AF666" t="str">
        <f>VLOOKUP(Table1[[#This Row],[sheet]],Prg!$A$7:$J$31,5,FALSE)</f>
        <v>MALI REP</v>
      </c>
      <c r="AG666">
        <f>ROW()</f>
        <v>666</v>
      </c>
    </row>
    <row r="667" spans="24:33" hidden="1" x14ac:dyDescent="0.25">
      <c r="X667">
        <v>4</v>
      </c>
      <c r="Y667" t="s">
        <v>787</v>
      </c>
      <c r="Z667" t="s">
        <v>633</v>
      </c>
      <c r="AA667" t="str">
        <f>IF(OR(VLOOKUP(Table1[[#This Row],[sheet]],Prg!$A$7:$F$31,6,FALSE)=Prg!$O$2,VLOOKUP(Table1[[#This Row],[sheet]],Prg!$A$7:$F$31,6,FALSE)=Prg!$O$3),"Yes","No")</f>
        <v>Yes</v>
      </c>
      <c r="AB667">
        <v>2025</v>
      </c>
      <c r="AC667">
        <v>18</v>
      </c>
      <c r="AD667">
        <f ca="1">IF(ISERROR(VLOOKUP(Table1[[#This Row],[item]],INDIRECT("'"&amp;Table1[[#This Row],[sheet]]&amp;"'!$A$8:$T$42"),Table1[[#This Row],[r]],FALSE)),"",VLOOKUP(Table1[[#This Row],[item]],INDIRECT("'"&amp;Table1[[#This Row],[sheet]]&amp;"'!$A$8:$T$42"),Table1[[#This Row],[r]],FALSE))</f>
        <v>0</v>
      </c>
      <c r="AE667">
        <f>IF(VLOOKUP(Table1[[#This Row],[sheet]],Prg!$A$7:$J$31,10,FALSE)="","",VLOOKUP(Table1[[#This Row],[sheet]],Prg!$A$7:$J$31,10,FALSE)*1)</f>
        <v>1</v>
      </c>
      <c r="AF667" t="str">
        <f>VLOOKUP(Table1[[#This Row],[sheet]],Prg!$A$7:$J$31,5,FALSE)</f>
        <v>MALI REP</v>
      </c>
      <c r="AG667">
        <f>ROW()</f>
        <v>667</v>
      </c>
    </row>
    <row r="668" spans="24:33" hidden="1" x14ac:dyDescent="0.25">
      <c r="X668">
        <v>4</v>
      </c>
      <c r="Y668" s="53" t="s">
        <v>753</v>
      </c>
      <c r="Z668" s="53" t="s">
        <v>162</v>
      </c>
      <c r="AA668" s="53" t="str">
        <f>IF(OR(VLOOKUP(Table1[[#This Row],[sheet]],Prg!$A$7:$F$31,6,FALSE)=Prg!$O$2,VLOOKUP(Table1[[#This Row],[sheet]],Prg!$A$7:$F$31,6,FALSE)=Prg!$O$3),"Yes","No")</f>
        <v>Yes</v>
      </c>
      <c r="AB668" s="53">
        <v>2026</v>
      </c>
      <c r="AC668">
        <v>19</v>
      </c>
      <c r="AD668">
        <f ca="1">IF(ISERROR(VLOOKUP(Table1[[#This Row],[item]],INDIRECT("'"&amp;Table1[[#This Row],[sheet]]&amp;"'!$A$8:$T$42"),Table1[[#This Row],[r]],FALSE)),"",VLOOKUP(Table1[[#This Row],[item]],INDIRECT("'"&amp;Table1[[#This Row],[sheet]]&amp;"'!$A$8:$T$42"),Table1[[#This Row],[r]],FALSE))</f>
        <v>464003.68888102385</v>
      </c>
      <c r="AE668">
        <f>IF(VLOOKUP(Table1[[#This Row],[sheet]],Prg!$A$7:$J$31,10,FALSE)="","",VLOOKUP(Table1[[#This Row],[sheet]],Prg!$A$7:$J$31,10,FALSE)*1)</f>
        <v>1</v>
      </c>
      <c r="AF668" t="str">
        <f>VLOOKUP(Table1[[#This Row],[sheet]],Prg!$A$7:$J$31,5,FALSE)</f>
        <v>MALI REP</v>
      </c>
      <c r="AG668">
        <f>ROW()</f>
        <v>668</v>
      </c>
    </row>
    <row r="669" spans="24:33" hidden="1" x14ac:dyDescent="0.25">
      <c r="X669">
        <v>4</v>
      </c>
      <c r="Y669" t="s">
        <v>754</v>
      </c>
      <c r="Z669" t="s">
        <v>164</v>
      </c>
      <c r="AA669" t="str">
        <f>IF(OR(VLOOKUP(Table1[[#This Row],[sheet]],Prg!$A$7:$F$31,6,FALSE)=Prg!$O$2,VLOOKUP(Table1[[#This Row],[sheet]],Prg!$A$7:$F$31,6,FALSE)=Prg!$O$3),"Yes","No")</f>
        <v>Yes</v>
      </c>
      <c r="AB669">
        <v>2026</v>
      </c>
      <c r="AC669">
        <v>19</v>
      </c>
      <c r="AD669">
        <f ca="1">IF(ISERROR(VLOOKUP(Table1[[#This Row],[item]],INDIRECT("'"&amp;Table1[[#This Row],[sheet]]&amp;"'!$A$8:$T$42"),Table1[[#This Row],[r]],FALSE)),"",VLOOKUP(Table1[[#This Row],[item]],INDIRECT("'"&amp;Table1[[#This Row],[sheet]]&amp;"'!$A$8:$T$42"),Table1[[#This Row],[r]],FALSE))</f>
        <v>26678.586150795294</v>
      </c>
      <c r="AE669">
        <f>IF(VLOOKUP(Table1[[#This Row],[sheet]],Prg!$A$7:$J$31,10,FALSE)="","",VLOOKUP(Table1[[#This Row],[sheet]],Prg!$A$7:$J$31,10,FALSE)*1)</f>
        <v>1</v>
      </c>
      <c r="AF669" t="str">
        <f>VLOOKUP(Table1[[#This Row],[sheet]],Prg!$A$7:$J$31,5,FALSE)</f>
        <v>MALI REP</v>
      </c>
      <c r="AG669">
        <f>ROW()</f>
        <v>669</v>
      </c>
    </row>
    <row r="670" spans="24:33" hidden="1" x14ac:dyDescent="0.25">
      <c r="X670">
        <v>4</v>
      </c>
      <c r="Y670" t="s">
        <v>755</v>
      </c>
      <c r="Z670" t="s">
        <v>166</v>
      </c>
      <c r="AA670" t="str">
        <f>IF(OR(VLOOKUP(Table1[[#This Row],[sheet]],Prg!$A$7:$F$31,6,FALSE)=Prg!$O$2,VLOOKUP(Table1[[#This Row],[sheet]],Prg!$A$7:$F$31,6,FALSE)=Prg!$O$3),"Yes","No")</f>
        <v>Yes</v>
      </c>
      <c r="AB670">
        <v>2026</v>
      </c>
      <c r="AC670">
        <v>19</v>
      </c>
      <c r="AD670">
        <f ca="1">IF(ISERROR(VLOOKUP(Table1[[#This Row],[item]],INDIRECT("'"&amp;Table1[[#This Row],[sheet]]&amp;"'!$A$8:$T$42"),Table1[[#This Row],[r]],FALSE)),"",VLOOKUP(Table1[[#This Row],[item]],INDIRECT("'"&amp;Table1[[#This Row],[sheet]]&amp;"'!$A$8:$T$42"),Table1[[#This Row],[r]],FALSE))</f>
        <v>350779.94</v>
      </c>
      <c r="AE670">
        <f>IF(VLOOKUP(Table1[[#This Row],[sheet]],Prg!$A$7:$J$31,10,FALSE)="","",VLOOKUP(Table1[[#This Row],[sheet]],Prg!$A$7:$J$31,10,FALSE)*1)</f>
        <v>1</v>
      </c>
      <c r="AF670" t="str">
        <f>VLOOKUP(Table1[[#This Row],[sheet]],Prg!$A$7:$J$31,5,FALSE)</f>
        <v>MALI REP</v>
      </c>
      <c r="AG670">
        <f>ROW()</f>
        <v>670</v>
      </c>
    </row>
    <row r="671" spans="24:33" hidden="1" x14ac:dyDescent="0.25">
      <c r="X671">
        <v>4</v>
      </c>
      <c r="Y671" t="s">
        <v>756</v>
      </c>
      <c r="Z671" t="s">
        <v>757</v>
      </c>
      <c r="AA671" t="str">
        <f>IF(OR(VLOOKUP(Table1[[#This Row],[sheet]],Prg!$A$7:$F$31,6,FALSE)=Prg!$O$2,VLOOKUP(Table1[[#This Row],[sheet]],Prg!$A$7:$F$31,6,FALSE)=Prg!$O$3),"Yes","No")</f>
        <v>Yes</v>
      </c>
      <c r="AB671">
        <v>2026</v>
      </c>
      <c r="AC671">
        <v>19</v>
      </c>
      <c r="AD671">
        <f ca="1">IF(ISERROR(VLOOKUP(Table1[[#This Row],[item]],INDIRECT("'"&amp;Table1[[#This Row],[sheet]]&amp;"'!$A$8:$T$42"),Table1[[#This Row],[r]],FALSE)),"",VLOOKUP(Table1[[#This Row],[item]],INDIRECT("'"&amp;Table1[[#This Row],[sheet]]&amp;"'!$A$8:$T$42"),Table1[[#This Row],[r]],FALSE))</f>
        <v>86545.162730228563</v>
      </c>
      <c r="AE671">
        <f>IF(VLOOKUP(Table1[[#This Row],[sheet]],Prg!$A$7:$J$31,10,FALSE)="","",VLOOKUP(Table1[[#This Row],[sheet]],Prg!$A$7:$J$31,10,FALSE)*1)</f>
        <v>1</v>
      </c>
      <c r="AF671" t="str">
        <f>VLOOKUP(Table1[[#This Row],[sheet]],Prg!$A$7:$J$31,5,FALSE)</f>
        <v>MALI REP</v>
      </c>
      <c r="AG671">
        <f>ROW()</f>
        <v>671</v>
      </c>
    </row>
    <row r="672" spans="24:33" hidden="1" x14ac:dyDescent="0.25">
      <c r="X672">
        <v>4</v>
      </c>
      <c r="Y672" t="s">
        <v>758</v>
      </c>
      <c r="Z672" t="s">
        <v>170</v>
      </c>
      <c r="AA672" t="str">
        <f>IF(OR(VLOOKUP(Table1[[#This Row],[sheet]],Prg!$A$7:$F$31,6,FALSE)=Prg!$O$2,VLOOKUP(Table1[[#This Row],[sheet]],Prg!$A$7:$F$31,6,FALSE)=Prg!$O$3),"Yes","No")</f>
        <v>Yes</v>
      </c>
      <c r="AB672">
        <v>2026</v>
      </c>
      <c r="AC672">
        <v>19</v>
      </c>
      <c r="AD672">
        <f ca="1">IF(ISERROR(VLOOKUP(Table1[[#This Row],[item]],INDIRECT("'"&amp;Table1[[#This Row],[sheet]]&amp;"'!$A$8:$T$42"),Table1[[#This Row],[r]],FALSE)),"",VLOOKUP(Table1[[#This Row],[item]],INDIRECT("'"&amp;Table1[[#This Row],[sheet]]&amp;"'!$A$8:$T$42"),Table1[[#This Row],[r]],FALSE))</f>
        <v>21477.17</v>
      </c>
      <c r="AE672">
        <f>IF(VLOOKUP(Table1[[#This Row],[sheet]],Prg!$A$7:$J$31,10,FALSE)="","",VLOOKUP(Table1[[#This Row],[sheet]],Prg!$A$7:$J$31,10,FALSE)*1)</f>
        <v>1</v>
      </c>
      <c r="AF672" t="str">
        <f>VLOOKUP(Table1[[#This Row],[sheet]],Prg!$A$7:$J$31,5,FALSE)</f>
        <v>MALI REP</v>
      </c>
      <c r="AG672">
        <f>ROW()</f>
        <v>672</v>
      </c>
    </row>
    <row r="673" spans="24:33" hidden="1" x14ac:dyDescent="0.25">
      <c r="X673">
        <v>4</v>
      </c>
      <c r="Y673" t="s">
        <v>759</v>
      </c>
      <c r="Z673" t="s">
        <v>172</v>
      </c>
      <c r="AA673" t="str">
        <f>IF(OR(VLOOKUP(Table1[[#This Row],[sheet]],Prg!$A$7:$F$31,6,FALSE)=Prg!$O$2,VLOOKUP(Table1[[#This Row],[sheet]],Prg!$A$7:$F$31,6,FALSE)=Prg!$O$3),"Yes","No")</f>
        <v>Yes</v>
      </c>
      <c r="AB673">
        <v>2026</v>
      </c>
      <c r="AC673">
        <v>19</v>
      </c>
      <c r="AD673">
        <f ca="1">IF(ISERROR(VLOOKUP(Table1[[#This Row],[item]],INDIRECT("'"&amp;Table1[[#This Row],[sheet]]&amp;"'!$A$8:$T$42"),Table1[[#This Row],[r]],FALSE)),"",VLOOKUP(Table1[[#This Row],[item]],INDIRECT("'"&amp;Table1[[#This Row],[sheet]]&amp;"'!$A$8:$T$42"),Table1[[#This Row],[r]],FALSE))</f>
        <v>0</v>
      </c>
      <c r="AE673">
        <f>IF(VLOOKUP(Table1[[#This Row],[sheet]],Prg!$A$7:$J$31,10,FALSE)="","",VLOOKUP(Table1[[#This Row],[sheet]],Prg!$A$7:$J$31,10,FALSE)*1)</f>
        <v>1</v>
      </c>
      <c r="AF673" t="str">
        <f>VLOOKUP(Table1[[#This Row],[sheet]],Prg!$A$7:$J$31,5,FALSE)</f>
        <v>MALI REP</v>
      </c>
      <c r="AG673">
        <f>ROW()</f>
        <v>673</v>
      </c>
    </row>
    <row r="674" spans="24:33" hidden="1" x14ac:dyDescent="0.25">
      <c r="X674">
        <v>4</v>
      </c>
      <c r="Y674" t="s">
        <v>760</v>
      </c>
      <c r="Z674" t="s">
        <v>174</v>
      </c>
      <c r="AA674" t="str">
        <f>IF(OR(VLOOKUP(Table1[[#This Row],[sheet]],Prg!$A$7:$F$31,6,FALSE)=Prg!$O$2,VLOOKUP(Table1[[#This Row],[sheet]],Prg!$A$7:$F$31,6,FALSE)=Prg!$O$3),"Yes","No")</f>
        <v>Yes</v>
      </c>
      <c r="AB674">
        <v>2026</v>
      </c>
      <c r="AC674">
        <v>19</v>
      </c>
      <c r="AD674">
        <f ca="1">IF(ISERROR(VLOOKUP(Table1[[#This Row],[item]],INDIRECT("'"&amp;Table1[[#This Row],[sheet]]&amp;"'!$A$8:$T$42"),Table1[[#This Row],[r]],FALSE)),"",VLOOKUP(Table1[[#This Row],[item]],INDIRECT("'"&amp;Table1[[#This Row],[sheet]]&amp;"'!$A$8:$T$42"),Table1[[#This Row],[r]],FALSE))</f>
        <v>21477.17</v>
      </c>
      <c r="AE674">
        <f>IF(VLOOKUP(Table1[[#This Row],[sheet]],Prg!$A$7:$J$31,10,FALSE)="","",VLOOKUP(Table1[[#This Row],[sheet]],Prg!$A$7:$J$31,10,FALSE)*1)</f>
        <v>1</v>
      </c>
      <c r="AF674" t="str">
        <f>VLOOKUP(Table1[[#This Row],[sheet]],Prg!$A$7:$J$31,5,FALSE)</f>
        <v>MALI REP</v>
      </c>
      <c r="AG674">
        <f>ROW()</f>
        <v>674</v>
      </c>
    </row>
    <row r="675" spans="24:33" hidden="1" x14ac:dyDescent="0.25">
      <c r="X675">
        <v>4</v>
      </c>
      <c r="Y675" t="s">
        <v>761</v>
      </c>
      <c r="Z675" t="s">
        <v>762</v>
      </c>
      <c r="AA675" t="str">
        <f>IF(OR(VLOOKUP(Table1[[#This Row],[sheet]],Prg!$A$7:$F$31,6,FALSE)=Prg!$O$2,VLOOKUP(Table1[[#This Row],[sheet]],Prg!$A$7:$F$31,6,FALSE)=Prg!$O$3),"Yes","No")</f>
        <v>Yes</v>
      </c>
      <c r="AB675">
        <v>2026</v>
      </c>
      <c r="AC675">
        <v>19</v>
      </c>
      <c r="AD675">
        <f ca="1">IF(ISERROR(VLOOKUP(Table1[[#This Row],[item]],INDIRECT("'"&amp;Table1[[#This Row],[sheet]]&amp;"'!$A$8:$T$42"),Table1[[#This Row],[r]],FALSE)),"",VLOOKUP(Table1[[#This Row],[item]],INDIRECT("'"&amp;Table1[[#This Row],[sheet]]&amp;"'!$A$8:$T$42"),Table1[[#This Row],[r]],FALSE))</f>
        <v>0</v>
      </c>
      <c r="AE675">
        <f>IF(VLOOKUP(Table1[[#This Row],[sheet]],Prg!$A$7:$J$31,10,FALSE)="","",VLOOKUP(Table1[[#This Row],[sheet]],Prg!$A$7:$J$31,10,FALSE)*1)</f>
        <v>1</v>
      </c>
      <c r="AF675" t="str">
        <f>VLOOKUP(Table1[[#This Row],[sheet]],Prg!$A$7:$J$31,5,FALSE)</f>
        <v>MALI REP</v>
      </c>
      <c r="AG675">
        <f>ROW()</f>
        <v>675</v>
      </c>
    </row>
    <row r="676" spans="24:33" hidden="1" x14ac:dyDescent="0.25">
      <c r="X676">
        <v>4</v>
      </c>
      <c r="Y676" t="s">
        <v>763</v>
      </c>
      <c r="Z676" t="s">
        <v>178</v>
      </c>
      <c r="AA676" t="str">
        <f>IF(OR(VLOOKUP(Table1[[#This Row],[sheet]],Prg!$A$7:$F$31,6,FALSE)=Prg!$O$2,VLOOKUP(Table1[[#This Row],[sheet]],Prg!$A$7:$F$31,6,FALSE)=Prg!$O$3),"Yes","No")</f>
        <v>Yes</v>
      </c>
      <c r="AB676">
        <v>2026</v>
      </c>
      <c r="AC676">
        <v>19</v>
      </c>
      <c r="AD676">
        <f ca="1">IF(ISERROR(VLOOKUP(Table1[[#This Row],[item]],INDIRECT("'"&amp;Table1[[#This Row],[sheet]]&amp;"'!$A$8:$T$42"),Table1[[#This Row],[r]],FALSE)),"",VLOOKUP(Table1[[#This Row],[item]],INDIRECT("'"&amp;Table1[[#This Row],[sheet]]&amp;"'!$A$8:$T$42"),Table1[[#This Row],[r]],FALSE))</f>
        <v>285106.82526810298</v>
      </c>
      <c r="AE676">
        <f>IF(VLOOKUP(Table1[[#This Row],[sheet]],Prg!$A$7:$J$31,10,FALSE)="","",VLOOKUP(Table1[[#This Row],[sheet]],Prg!$A$7:$J$31,10,FALSE)*1)</f>
        <v>1</v>
      </c>
      <c r="AF676" t="str">
        <f>VLOOKUP(Table1[[#This Row],[sheet]],Prg!$A$7:$J$31,5,FALSE)</f>
        <v>MALI REP</v>
      </c>
      <c r="AG676">
        <f>ROW()</f>
        <v>676</v>
      </c>
    </row>
    <row r="677" spans="24:33" hidden="1" x14ac:dyDescent="0.25">
      <c r="X677">
        <v>4</v>
      </c>
      <c r="Y677" t="s">
        <v>764</v>
      </c>
      <c r="Z677" t="s">
        <v>109</v>
      </c>
      <c r="AA677" t="str">
        <f>IF(OR(VLOOKUP(Table1[[#This Row],[sheet]],Prg!$A$7:$F$31,6,FALSE)=Prg!$O$2,VLOOKUP(Table1[[#This Row],[sheet]],Prg!$A$7:$F$31,6,FALSE)=Prg!$O$3),"Yes","No")</f>
        <v>Yes</v>
      </c>
      <c r="AB677">
        <v>2026</v>
      </c>
      <c r="AC677">
        <v>19</v>
      </c>
      <c r="AD677">
        <f ca="1">IF(ISERROR(VLOOKUP(Table1[[#This Row],[item]],INDIRECT("'"&amp;Table1[[#This Row],[sheet]]&amp;"'!$A$8:$T$42"),Table1[[#This Row],[r]],FALSE)),"",VLOOKUP(Table1[[#This Row],[item]],INDIRECT("'"&amp;Table1[[#This Row],[sheet]]&amp;"'!$A$8:$T$42"),Table1[[#This Row],[r]],FALSE))</f>
        <v>3818.8490461566976</v>
      </c>
      <c r="AE677">
        <f>IF(VLOOKUP(Table1[[#This Row],[sheet]],Prg!$A$7:$J$31,10,FALSE)="","",VLOOKUP(Table1[[#This Row],[sheet]],Prg!$A$7:$J$31,10,FALSE)*1)</f>
        <v>1</v>
      </c>
      <c r="AF677" t="str">
        <f>VLOOKUP(Table1[[#This Row],[sheet]],Prg!$A$7:$J$31,5,FALSE)</f>
        <v>MALI REP</v>
      </c>
      <c r="AG677">
        <f>ROW()</f>
        <v>677</v>
      </c>
    </row>
    <row r="678" spans="24:33" hidden="1" x14ac:dyDescent="0.25">
      <c r="X678">
        <v>4</v>
      </c>
      <c r="Y678" t="s">
        <v>765</v>
      </c>
      <c r="Z678" t="s">
        <v>117</v>
      </c>
      <c r="AA678" t="str">
        <f>IF(OR(VLOOKUP(Table1[[#This Row],[sheet]],Prg!$A$7:$F$31,6,FALSE)=Prg!$O$2,VLOOKUP(Table1[[#This Row],[sheet]],Prg!$A$7:$F$31,6,FALSE)=Prg!$O$3),"Yes","No")</f>
        <v>Yes</v>
      </c>
      <c r="AB678">
        <v>2026</v>
      </c>
      <c r="AC678">
        <v>19</v>
      </c>
      <c r="AD678">
        <f ca="1">IF(ISERROR(VLOOKUP(Table1[[#This Row],[item]],INDIRECT("'"&amp;Table1[[#This Row],[sheet]]&amp;"'!$A$8:$T$42"),Table1[[#This Row],[r]],FALSE)),"",VLOOKUP(Table1[[#This Row],[item]],INDIRECT("'"&amp;Table1[[#This Row],[sheet]]&amp;"'!$A$8:$T$42"),Table1[[#This Row],[r]],FALSE))</f>
        <v>118178.68</v>
      </c>
      <c r="AE678">
        <f>IF(VLOOKUP(Table1[[#This Row],[sheet]],Prg!$A$7:$J$31,10,FALSE)="","",VLOOKUP(Table1[[#This Row],[sheet]],Prg!$A$7:$J$31,10,FALSE)*1)</f>
        <v>1</v>
      </c>
      <c r="AF678" t="str">
        <f>VLOOKUP(Table1[[#This Row],[sheet]],Prg!$A$7:$J$31,5,FALSE)</f>
        <v>MALI REP</v>
      </c>
      <c r="AG678">
        <f>ROW()</f>
        <v>678</v>
      </c>
    </row>
    <row r="679" spans="24:33" hidden="1" x14ac:dyDescent="0.25">
      <c r="X679">
        <v>4</v>
      </c>
      <c r="Y679" t="s">
        <v>766</v>
      </c>
      <c r="Z679" t="s">
        <v>767</v>
      </c>
      <c r="AA679" t="str">
        <f>IF(OR(VLOOKUP(Table1[[#This Row],[sheet]],Prg!$A$7:$F$31,6,FALSE)=Prg!$O$2,VLOOKUP(Table1[[#This Row],[sheet]],Prg!$A$7:$F$31,6,FALSE)=Prg!$O$3),"Yes","No")</f>
        <v>Yes</v>
      </c>
      <c r="AB679">
        <v>2026</v>
      </c>
      <c r="AC679">
        <v>19</v>
      </c>
      <c r="AD679">
        <f ca="1">IF(ISERROR(VLOOKUP(Table1[[#This Row],[item]],INDIRECT("'"&amp;Table1[[#This Row],[sheet]]&amp;"'!$A$8:$T$42"),Table1[[#This Row],[r]],FALSE)),"",VLOOKUP(Table1[[#This Row],[item]],INDIRECT("'"&amp;Table1[[#This Row],[sheet]]&amp;"'!$A$8:$T$42"),Table1[[#This Row],[r]],FALSE))</f>
        <v>163109.29622194631</v>
      </c>
      <c r="AE679">
        <f>IF(VLOOKUP(Table1[[#This Row],[sheet]],Prg!$A$7:$J$31,10,FALSE)="","",VLOOKUP(Table1[[#This Row],[sheet]],Prg!$A$7:$J$31,10,FALSE)*1)</f>
        <v>1</v>
      </c>
      <c r="AF679" t="str">
        <f>VLOOKUP(Table1[[#This Row],[sheet]],Prg!$A$7:$J$31,5,FALSE)</f>
        <v>MALI REP</v>
      </c>
      <c r="AG679">
        <f>ROW()</f>
        <v>679</v>
      </c>
    </row>
    <row r="680" spans="24:33" hidden="1" x14ac:dyDescent="0.25">
      <c r="X680">
        <v>4</v>
      </c>
      <c r="Y680" t="s">
        <v>768</v>
      </c>
      <c r="Z680" t="s">
        <v>182</v>
      </c>
      <c r="AA680" t="str">
        <f>IF(OR(VLOOKUP(Table1[[#This Row],[sheet]],Prg!$A$7:$F$31,6,FALSE)=Prg!$O$2,VLOOKUP(Table1[[#This Row],[sheet]],Prg!$A$7:$F$31,6,FALSE)=Prg!$O$3),"Yes","No")</f>
        <v>Yes</v>
      </c>
      <c r="AB680">
        <v>2026</v>
      </c>
      <c r="AC680">
        <v>19</v>
      </c>
      <c r="AD680">
        <f ca="1">IF(ISERROR(VLOOKUP(Table1[[#This Row],[item]],INDIRECT("'"&amp;Table1[[#This Row],[sheet]]&amp;"'!$A$8:$T$42"),Table1[[#This Row],[r]],FALSE)),"",VLOOKUP(Table1[[#This Row],[item]],INDIRECT("'"&amp;Table1[[#This Row],[sheet]]&amp;"'!$A$8:$T$42"),Table1[[#This Row],[r]],FALSE))</f>
        <v>4000</v>
      </c>
      <c r="AE680">
        <f>IF(VLOOKUP(Table1[[#This Row],[sheet]],Prg!$A$7:$J$31,10,FALSE)="","",VLOOKUP(Table1[[#This Row],[sheet]],Prg!$A$7:$J$31,10,FALSE)*1)</f>
        <v>1</v>
      </c>
      <c r="AF680" t="str">
        <f>VLOOKUP(Table1[[#This Row],[sheet]],Prg!$A$7:$J$31,5,FALSE)</f>
        <v>MALI REP</v>
      </c>
      <c r="AG680">
        <f>ROW()</f>
        <v>680</v>
      </c>
    </row>
    <row r="681" spans="24:33" hidden="1" x14ac:dyDescent="0.25">
      <c r="X681">
        <v>4</v>
      </c>
      <c r="Y681" t="s">
        <v>769</v>
      </c>
      <c r="Z681" t="s">
        <v>184</v>
      </c>
      <c r="AA681" t="str">
        <f>IF(OR(VLOOKUP(Table1[[#This Row],[sheet]],Prg!$A$7:$F$31,6,FALSE)=Prg!$O$2,VLOOKUP(Table1[[#This Row],[sheet]],Prg!$A$7:$F$31,6,FALSE)=Prg!$O$3),"Yes","No")</f>
        <v>Yes</v>
      </c>
      <c r="AB681">
        <v>2026</v>
      </c>
      <c r="AC681">
        <v>19</v>
      </c>
      <c r="AD681">
        <f ca="1">IF(ISERROR(VLOOKUP(Table1[[#This Row],[item]],INDIRECT("'"&amp;Table1[[#This Row],[sheet]]&amp;"'!$A$8:$T$42"),Table1[[#This Row],[r]],FALSE)),"",VLOOKUP(Table1[[#This Row],[item]],INDIRECT("'"&amp;Table1[[#This Row],[sheet]]&amp;"'!$A$8:$T$42"),Table1[[#This Row],[r]],FALSE))</f>
        <v>0</v>
      </c>
      <c r="AE681">
        <f>IF(VLOOKUP(Table1[[#This Row],[sheet]],Prg!$A$7:$J$31,10,FALSE)="","",VLOOKUP(Table1[[#This Row],[sheet]],Prg!$A$7:$J$31,10,FALSE)*1)</f>
        <v>1</v>
      </c>
      <c r="AF681" t="str">
        <f>VLOOKUP(Table1[[#This Row],[sheet]],Prg!$A$7:$J$31,5,FALSE)</f>
        <v>MALI REP</v>
      </c>
      <c r="AG681">
        <f>ROW()</f>
        <v>681</v>
      </c>
    </row>
    <row r="682" spans="24:33" hidden="1" x14ac:dyDescent="0.25">
      <c r="X682">
        <v>4</v>
      </c>
      <c r="Y682" t="s">
        <v>770</v>
      </c>
      <c r="Z682" t="s">
        <v>186</v>
      </c>
      <c r="AA682" t="str">
        <f>IF(OR(VLOOKUP(Table1[[#This Row],[sheet]],Prg!$A$7:$F$31,6,FALSE)=Prg!$O$2,VLOOKUP(Table1[[#This Row],[sheet]],Prg!$A$7:$F$31,6,FALSE)=Prg!$O$3),"Yes","No")</f>
        <v>Yes</v>
      </c>
      <c r="AB682">
        <v>2026</v>
      </c>
      <c r="AC682">
        <v>19</v>
      </c>
      <c r="AD682">
        <f ca="1">IF(ISERROR(VLOOKUP(Table1[[#This Row],[item]],INDIRECT("'"&amp;Table1[[#This Row],[sheet]]&amp;"'!$A$8:$T$42"),Table1[[#This Row],[r]],FALSE)),"",VLOOKUP(Table1[[#This Row],[item]],INDIRECT("'"&amp;Table1[[#This Row],[sheet]]&amp;"'!$A$8:$T$42"),Table1[[#This Row],[r]],FALSE))</f>
        <v>4000</v>
      </c>
      <c r="AE682">
        <f>IF(VLOOKUP(Table1[[#This Row],[sheet]],Prg!$A$7:$J$31,10,FALSE)="","",VLOOKUP(Table1[[#This Row],[sheet]],Prg!$A$7:$J$31,10,FALSE)*1)</f>
        <v>1</v>
      </c>
      <c r="AF682" t="str">
        <f>VLOOKUP(Table1[[#This Row],[sheet]],Prg!$A$7:$J$31,5,FALSE)</f>
        <v>MALI REP</v>
      </c>
      <c r="AG682">
        <f>ROW()</f>
        <v>682</v>
      </c>
    </row>
    <row r="683" spans="24:33" hidden="1" x14ac:dyDescent="0.25">
      <c r="X683">
        <v>4</v>
      </c>
      <c r="Y683" t="s">
        <v>771</v>
      </c>
      <c r="Z683" t="s">
        <v>772</v>
      </c>
      <c r="AA683" t="str">
        <f>IF(OR(VLOOKUP(Table1[[#This Row],[sheet]],Prg!$A$7:$F$31,6,FALSE)=Prg!$O$2,VLOOKUP(Table1[[#This Row],[sheet]],Prg!$A$7:$F$31,6,FALSE)=Prg!$O$3),"Yes","No")</f>
        <v>Yes</v>
      </c>
      <c r="AB683">
        <v>2026</v>
      </c>
      <c r="AC683">
        <v>19</v>
      </c>
      <c r="AD683">
        <f ca="1">IF(ISERROR(VLOOKUP(Table1[[#This Row],[item]],INDIRECT("'"&amp;Table1[[#This Row],[sheet]]&amp;"'!$A$8:$T$42"),Table1[[#This Row],[r]],FALSE)),"",VLOOKUP(Table1[[#This Row],[item]],INDIRECT("'"&amp;Table1[[#This Row],[sheet]]&amp;"'!$A$8:$T$42"),Table1[[#This Row],[r]],FALSE))</f>
        <v>0</v>
      </c>
      <c r="AE683">
        <f>IF(VLOOKUP(Table1[[#This Row],[sheet]],Prg!$A$7:$J$31,10,FALSE)="","",VLOOKUP(Table1[[#This Row],[sheet]],Prg!$A$7:$J$31,10,FALSE)*1)</f>
        <v>1</v>
      </c>
      <c r="AF683" t="str">
        <f>VLOOKUP(Table1[[#This Row],[sheet]],Prg!$A$7:$J$31,5,FALSE)</f>
        <v>MALI REP</v>
      </c>
      <c r="AG683">
        <f>ROW()</f>
        <v>683</v>
      </c>
    </row>
    <row r="684" spans="24:33" hidden="1" x14ac:dyDescent="0.25">
      <c r="X684">
        <v>4</v>
      </c>
      <c r="Y684" t="s">
        <v>773</v>
      </c>
      <c r="Z684" t="s">
        <v>190</v>
      </c>
      <c r="AA684" t="str">
        <f>IF(OR(VLOOKUP(Table1[[#This Row],[sheet]],Prg!$A$7:$F$31,6,FALSE)=Prg!$O$2,VLOOKUP(Table1[[#This Row],[sheet]],Prg!$A$7:$F$31,6,FALSE)=Prg!$O$3),"Yes","No")</f>
        <v>Yes</v>
      </c>
      <c r="AB684">
        <v>2026</v>
      </c>
      <c r="AC684">
        <v>19</v>
      </c>
      <c r="AD684">
        <f ca="1">IF(ISERROR(VLOOKUP(Table1[[#This Row],[item]],INDIRECT("'"&amp;Table1[[#This Row],[sheet]]&amp;"'!$A$8:$T$42"),Table1[[#This Row],[r]],FALSE)),"",VLOOKUP(Table1[[#This Row],[item]],INDIRECT("'"&amp;Table1[[#This Row],[sheet]]&amp;"'!$A$8:$T$42"),Table1[[#This Row],[r]],FALSE))</f>
        <v>774587.68414912687</v>
      </c>
      <c r="AE684">
        <f>IF(VLOOKUP(Table1[[#This Row],[sheet]],Prg!$A$7:$J$31,10,FALSE)="","",VLOOKUP(Table1[[#This Row],[sheet]],Prg!$A$7:$J$31,10,FALSE)*1)</f>
        <v>1</v>
      </c>
      <c r="AF684" t="str">
        <f>VLOOKUP(Table1[[#This Row],[sheet]],Prg!$A$7:$J$31,5,FALSE)</f>
        <v>MALI REP</v>
      </c>
      <c r="AG684">
        <f>ROW()</f>
        <v>684</v>
      </c>
    </row>
    <row r="685" spans="24:33" hidden="1" x14ac:dyDescent="0.25">
      <c r="X685">
        <v>4</v>
      </c>
      <c r="Y685" t="s">
        <v>709</v>
      </c>
      <c r="Z685" t="s">
        <v>192</v>
      </c>
      <c r="AA685" t="str">
        <f>IF(OR(VLOOKUP(Table1[[#This Row],[sheet]],Prg!$A$7:$F$31,6,FALSE)=Prg!$O$2,VLOOKUP(Table1[[#This Row],[sheet]],Prg!$A$7:$F$31,6,FALSE)=Prg!$O$3),"Yes","No")</f>
        <v>Yes</v>
      </c>
      <c r="AB685">
        <v>2026</v>
      </c>
      <c r="AC685">
        <v>19</v>
      </c>
      <c r="AD685">
        <f ca="1">IF(ISERROR(VLOOKUP(Table1[[#This Row],[item]],INDIRECT("'"&amp;Table1[[#This Row],[sheet]]&amp;"'!$A$8:$T$42"),Table1[[#This Row],[r]],FALSE)),"",VLOOKUP(Table1[[#This Row],[item]],INDIRECT("'"&amp;Table1[[#This Row],[sheet]]&amp;"'!$A$8:$T$42"),Table1[[#This Row],[r]],FALSE))</f>
        <v>30497.435196951992</v>
      </c>
      <c r="AE685">
        <f>IF(VLOOKUP(Table1[[#This Row],[sheet]],Prg!$A$7:$J$31,10,FALSE)="","",VLOOKUP(Table1[[#This Row],[sheet]],Prg!$A$7:$J$31,10,FALSE)*1)</f>
        <v>1</v>
      </c>
      <c r="AF685" t="str">
        <f>VLOOKUP(Table1[[#This Row],[sheet]],Prg!$A$7:$J$31,5,FALSE)</f>
        <v>MALI REP</v>
      </c>
      <c r="AG685">
        <f>ROW()</f>
        <v>685</v>
      </c>
    </row>
    <row r="686" spans="24:33" hidden="1" x14ac:dyDescent="0.25">
      <c r="X686">
        <v>4</v>
      </c>
      <c r="Y686" t="s">
        <v>774</v>
      </c>
      <c r="Z686" t="s">
        <v>194</v>
      </c>
      <c r="AA686" t="str">
        <f>IF(OR(VLOOKUP(Table1[[#This Row],[sheet]],Prg!$A$7:$F$31,6,FALSE)=Prg!$O$2,VLOOKUP(Table1[[#This Row],[sheet]],Prg!$A$7:$F$31,6,FALSE)=Prg!$O$3),"Yes","No")</f>
        <v>Yes</v>
      </c>
      <c r="AB686">
        <v>2026</v>
      </c>
      <c r="AC686">
        <v>19</v>
      </c>
      <c r="AD686">
        <f ca="1">IF(ISERROR(VLOOKUP(Table1[[#This Row],[item]],INDIRECT("'"&amp;Table1[[#This Row],[sheet]]&amp;"'!$A$8:$T$42"),Table1[[#This Row],[r]],FALSE)),"",VLOOKUP(Table1[[#This Row],[item]],INDIRECT("'"&amp;Table1[[#This Row],[sheet]]&amp;"'!$A$8:$T$42"),Table1[[#This Row],[r]],FALSE))</f>
        <v>0</v>
      </c>
      <c r="AE686">
        <f>IF(VLOOKUP(Table1[[#This Row],[sheet]],Prg!$A$7:$J$31,10,FALSE)="","",VLOOKUP(Table1[[#This Row],[sheet]],Prg!$A$7:$J$31,10,FALSE)*1)</f>
        <v>1</v>
      </c>
      <c r="AF686" t="str">
        <f>VLOOKUP(Table1[[#This Row],[sheet]],Prg!$A$7:$J$31,5,FALSE)</f>
        <v>MALI REP</v>
      </c>
      <c r="AG686">
        <f>ROW()</f>
        <v>686</v>
      </c>
    </row>
    <row r="687" spans="24:33" hidden="1" x14ac:dyDescent="0.25">
      <c r="X687">
        <v>4</v>
      </c>
      <c r="Y687" t="s">
        <v>775</v>
      </c>
      <c r="Z687" t="s">
        <v>196</v>
      </c>
      <c r="AA687" t="str">
        <f>IF(OR(VLOOKUP(Table1[[#This Row],[sheet]],Prg!$A$7:$F$31,6,FALSE)=Prg!$O$2,VLOOKUP(Table1[[#This Row],[sheet]],Prg!$A$7:$F$31,6,FALSE)=Prg!$O$3),"Yes","No")</f>
        <v>Yes</v>
      </c>
      <c r="AB687">
        <v>2026</v>
      </c>
      <c r="AC687">
        <v>19</v>
      </c>
      <c r="AD687">
        <f ca="1">IF(ISERROR(VLOOKUP(Table1[[#This Row],[item]],INDIRECT("'"&amp;Table1[[#This Row],[sheet]]&amp;"'!$A$8:$T$42"),Table1[[#This Row],[r]],FALSE)),"",VLOOKUP(Table1[[#This Row],[item]],INDIRECT("'"&amp;Table1[[#This Row],[sheet]]&amp;"'!$A$8:$T$42"),Table1[[#This Row],[r]],FALSE))</f>
        <v>541.19417620184743</v>
      </c>
      <c r="AE687">
        <f>IF(VLOOKUP(Table1[[#This Row],[sheet]],Prg!$A$7:$J$31,10,FALSE)="","",VLOOKUP(Table1[[#This Row],[sheet]],Prg!$A$7:$J$31,10,FALSE)*1)</f>
        <v>1</v>
      </c>
      <c r="AF687" t="str">
        <f>VLOOKUP(Table1[[#This Row],[sheet]],Prg!$A$7:$J$31,5,FALSE)</f>
        <v>MALI REP</v>
      </c>
      <c r="AG687">
        <f>ROW()</f>
        <v>687</v>
      </c>
    </row>
    <row r="688" spans="24:33" hidden="1" x14ac:dyDescent="0.25">
      <c r="X688">
        <v>4</v>
      </c>
      <c r="Y688" t="s">
        <v>776</v>
      </c>
      <c r="Z688" t="s">
        <v>605</v>
      </c>
      <c r="AA688" t="str">
        <f>IF(OR(VLOOKUP(Table1[[#This Row],[sheet]],Prg!$A$7:$F$31,6,FALSE)=Prg!$O$2,VLOOKUP(Table1[[#This Row],[sheet]],Prg!$A$7:$F$31,6,FALSE)=Prg!$O$3),"Yes","No")</f>
        <v>Yes</v>
      </c>
      <c r="AB688">
        <v>2026</v>
      </c>
      <c r="AC688">
        <v>19</v>
      </c>
      <c r="AD688">
        <f ca="1">IF(ISERROR(VLOOKUP(Table1[[#This Row],[item]],INDIRECT("'"&amp;Table1[[#This Row],[sheet]]&amp;"'!$A$8:$T$42"),Table1[[#This Row],[r]],FALSE)),"",VLOOKUP(Table1[[#This Row],[item]],INDIRECT("'"&amp;Table1[[#This Row],[sheet]]&amp;"'!$A$8:$T$42"),Table1[[#This Row],[r]],FALSE))</f>
        <v>29956.241020750145</v>
      </c>
      <c r="AE688">
        <f>IF(VLOOKUP(Table1[[#This Row],[sheet]],Prg!$A$7:$J$31,10,FALSE)="","",VLOOKUP(Table1[[#This Row],[sheet]],Prg!$A$7:$J$31,10,FALSE)*1)</f>
        <v>1</v>
      </c>
      <c r="AF688" t="str">
        <f>VLOOKUP(Table1[[#This Row],[sheet]],Prg!$A$7:$J$31,5,FALSE)</f>
        <v>MALI REP</v>
      </c>
      <c r="AG688">
        <f>ROW()</f>
        <v>688</v>
      </c>
    </row>
    <row r="689" spans="24:33" hidden="1" x14ac:dyDescent="0.25">
      <c r="X689">
        <v>4</v>
      </c>
      <c r="Y689" t="s">
        <v>711</v>
      </c>
      <c r="Z689" t="s">
        <v>200</v>
      </c>
      <c r="AA689" t="str">
        <f>IF(OR(VLOOKUP(Table1[[#This Row],[sheet]],Prg!$A$7:$F$31,6,FALSE)=Prg!$O$2,VLOOKUP(Table1[[#This Row],[sheet]],Prg!$A$7:$F$31,6,FALSE)=Prg!$O$3),"Yes","No")</f>
        <v>Yes</v>
      </c>
      <c r="AB689">
        <v>2026</v>
      </c>
      <c r="AC689">
        <v>19</v>
      </c>
      <c r="AD689">
        <f ca="1">IF(ISERROR(VLOOKUP(Table1[[#This Row],[item]],INDIRECT("'"&amp;Table1[[#This Row],[sheet]]&amp;"'!$A$8:$T$42"),Table1[[#This Row],[r]],FALSE)),"",VLOOKUP(Table1[[#This Row],[item]],INDIRECT("'"&amp;Table1[[#This Row],[sheet]]&amp;"'!$A$8:$T$42"),Table1[[#This Row],[r]],FALSE))</f>
        <v>494435.79000000004</v>
      </c>
      <c r="AE689">
        <f>IF(VLOOKUP(Table1[[#This Row],[sheet]],Prg!$A$7:$J$31,10,FALSE)="","",VLOOKUP(Table1[[#This Row],[sheet]],Prg!$A$7:$J$31,10,FALSE)*1)</f>
        <v>1</v>
      </c>
      <c r="AF689" t="str">
        <f>VLOOKUP(Table1[[#This Row],[sheet]],Prg!$A$7:$J$31,5,FALSE)</f>
        <v>MALI REP</v>
      </c>
      <c r="AG689">
        <f>ROW()</f>
        <v>689</v>
      </c>
    </row>
    <row r="690" spans="24:33" hidden="1" x14ac:dyDescent="0.25">
      <c r="X690">
        <v>4</v>
      </c>
      <c r="Y690" t="s">
        <v>777</v>
      </c>
      <c r="Z690" t="s">
        <v>202</v>
      </c>
      <c r="AA690" t="str">
        <f>IF(OR(VLOOKUP(Table1[[#This Row],[sheet]],Prg!$A$7:$F$31,6,FALSE)=Prg!$O$2,VLOOKUP(Table1[[#This Row],[sheet]],Prg!$A$7:$F$31,6,FALSE)=Prg!$O$3),"Yes","No")</f>
        <v>Yes</v>
      </c>
      <c r="AB690">
        <v>2026</v>
      </c>
      <c r="AC690">
        <v>19</v>
      </c>
      <c r="AD690">
        <f ca="1">IF(ISERROR(VLOOKUP(Table1[[#This Row],[item]],INDIRECT("'"&amp;Table1[[#This Row],[sheet]]&amp;"'!$A$8:$T$42"),Table1[[#This Row],[r]],FALSE)),"",VLOOKUP(Table1[[#This Row],[item]],INDIRECT("'"&amp;Table1[[#This Row],[sheet]]&amp;"'!$A$8:$T$42"),Table1[[#This Row],[r]],FALSE))</f>
        <v>17096.21</v>
      </c>
      <c r="AE690">
        <f>IF(VLOOKUP(Table1[[#This Row],[sheet]],Prg!$A$7:$J$31,10,FALSE)="","",VLOOKUP(Table1[[#This Row],[sheet]],Prg!$A$7:$J$31,10,FALSE)*1)</f>
        <v>1</v>
      </c>
      <c r="AF690" t="str">
        <f>VLOOKUP(Table1[[#This Row],[sheet]],Prg!$A$7:$J$31,5,FALSE)</f>
        <v>MALI REP</v>
      </c>
      <c r="AG690">
        <f>ROW()</f>
        <v>690</v>
      </c>
    </row>
    <row r="691" spans="24:33" hidden="1" x14ac:dyDescent="0.25">
      <c r="X691">
        <v>4</v>
      </c>
      <c r="Y691" t="s">
        <v>778</v>
      </c>
      <c r="Z691" t="s">
        <v>204</v>
      </c>
      <c r="AA691" t="str">
        <f>IF(OR(VLOOKUP(Table1[[#This Row],[sheet]],Prg!$A$7:$F$31,6,FALSE)=Prg!$O$2,VLOOKUP(Table1[[#This Row],[sheet]],Prg!$A$7:$F$31,6,FALSE)=Prg!$O$3),"Yes","No")</f>
        <v>Yes</v>
      </c>
      <c r="AB691">
        <v>2026</v>
      </c>
      <c r="AC691">
        <v>19</v>
      </c>
      <c r="AD691">
        <f ca="1">IF(ISERROR(VLOOKUP(Table1[[#This Row],[item]],INDIRECT("'"&amp;Table1[[#This Row],[sheet]]&amp;"'!$A$8:$T$42"),Table1[[#This Row],[r]],FALSE)),"",VLOOKUP(Table1[[#This Row],[item]],INDIRECT("'"&amp;Table1[[#This Row],[sheet]]&amp;"'!$A$8:$T$42"),Table1[[#This Row],[r]],FALSE))</f>
        <v>46015.57</v>
      </c>
      <c r="AE691">
        <f>IF(VLOOKUP(Table1[[#This Row],[sheet]],Prg!$A$7:$J$31,10,FALSE)="","",VLOOKUP(Table1[[#This Row],[sheet]],Prg!$A$7:$J$31,10,FALSE)*1)</f>
        <v>1</v>
      </c>
      <c r="AF691" t="str">
        <f>VLOOKUP(Table1[[#This Row],[sheet]],Prg!$A$7:$J$31,5,FALSE)</f>
        <v>MALI REP</v>
      </c>
      <c r="AG691">
        <f>ROW()</f>
        <v>691</v>
      </c>
    </row>
    <row r="692" spans="24:33" hidden="1" x14ac:dyDescent="0.25">
      <c r="X692">
        <v>4</v>
      </c>
      <c r="Y692" t="s">
        <v>779</v>
      </c>
      <c r="Z692" t="s">
        <v>605</v>
      </c>
      <c r="AA692" t="str">
        <f>IF(OR(VLOOKUP(Table1[[#This Row],[sheet]],Prg!$A$7:$F$31,6,FALSE)=Prg!$O$2,VLOOKUP(Table1[[#This Row],[sheet]],Prg!$A$7:$F$31,6,FALSE)=Prg!$O$3),"Yes","No")</f>
        <v>Yes</v>
      </c>
      <c r="AB692">
        <v>2026</v>
      </c>
      <c r="AC692">
        <v>19</v>
      </c>
      <c r="AD692">
        <f ca="1">IF(ISERROR(VLOOKUP(Table1[[#This Row],[item]],INDIRECT("'"&amp;Table1[[#This Row],[sheet]]&amp;"'!$A$8:$T$42"),Table1[[#This Row],[r]],FALSE)),"",VLOOKUP(Table1[[#This Row],[item]],INDIRECT("'"&amp;Table1[[#This Row],[sheet]]&amp;"'!$A$8:$T$42"),Table1[[#This Row],[r]],FALSE))</f>
        <v>431324.01</v>
      </c>
      <c r="AE692">
        <f>IF(VLOOKUP(Table1[[#This Row],[sheet]],Prg!$A$7:$J$31,10,FALSE)="","",VLOOKUP(Table1[[#This Row],[sheet]],Prg!$A$7:$J$31,10,FALSE)*1)</f>
        <v>1</v>
      </c>
      <c r="AF692" t="str">
        <f>VLOOKUP(Table1[[#This Row],[sheet]],Prg!$A$7:$J$31,5,FALSE)</f>
        <v>MALI REP</v>
      </c>
      <c r="AG692">
        <f>ROW()</f>
        <v>692</v>
      </c>
    </row>
    <row r="693" spans="24:33" hidden="1" x14ac:dyDescent="0.25">
      <c r="X693">
        <v>4</v>
      </c>
      <c r="Y693" t="s">
        <v>712</v>
      </c>
      <c r="Z693" t="s">
        <v>780</v>
      </c>
      <c r="AA693" t="str">
        <f>IF(OR(VLOOKUP(Table1[[#This Row],[sheet]],Prg!$A$7:$F$31,6,FALSE)=Prg!$O$2,VLOOKUP(Table1[[#This Row],[sheet]],Prg!$A$7:$F$31,6,FALSE)=Prg!$O$3),"Yes","No")</f>
        <v>Yes</v>
      </c>
      <c r="AB693">
        <v>2026</v>
      </c>
      <c r="AC693">
        <v>19</v>
      </c>
      <c r="AD693">
        <f ca="1">IF(ISERROR(VLOOKUP(Table1[[#This Row],[item]],INDIRECT("'"&amp;Table1[[#This Row],[sheet]]&amp;"'!$A$8:$T$42"),Table1[[#This Row],[r]],FALSE)),"",VLOOKUP(Table1[[#This Row],[item]],INDIRECT("'"&amp;Table1[[#This Row],[sheet]]&amp;"'!$A$8:$T$42"),Table1[[#This Row],[r]],FALSE))</f>
        <v>249654.45895217487</v>
      </c>
      <c r="AE693">
        <f>IF(VLOOKUP(Table1[[#This Row],[sheet]],Prg!$A$7:$J$31,10,FALSE)="","",VLOOKUP(Table1[[#This Row],[sheet]],Prg!$A$7:$J$31,10,FALSE)*1)</f>
        <v>1</v>
      </c>
      <c r="AF693" t="str">
        <f>VLOOKUP(Table1[[#This Row],[sheet]],Prg!$A$7:$J$31,5,FALSE)</f>
        <v>MALI REP</v>
      </c>
      <c r="AG693">
        <f>ROW()</f>
        <v>693</v>
      </c>
    </row>
    <row r="694" spans="24:33" hidden="1" x14ac:dyDescent="0.25">
      <c r="X694">
        <v>4</v>
      </c>
      <c r="Y694" t="s">
        <v>781</v>
      </c>
      <c r="Z694" t="s">
        <v>782</v>
      </c>
      <c r="AA694" t="str">
        <f>IF(OR(VLOOKUP(Table1[[#This Row],[sheet]],Prg!$A$7:$F$31,6,FALSE)=Prg!$O$2,VLOOKUP(Table1[[#This Row],[sheet]],Prg!$A$7:$F$31,6,FALSE)=Prg!$O$3),"Yes","No")</f>
        <v>Yes</v>
      </c>
      <c r="AB694">
        <v>2026</v>
      </c>
      <c r="AC694">
        <v>19</v>
      </c>
      <c r="AD694">
        <f ca="1">IF(ISERROR(VLOOKUP(Table1[[#This Row],[item]],INDIRECT("'"&amp;Table1[[#This Row],[sheet]]&amp;"'!$A$8:$T$42"),Table1[[#This Row],[r]],FALSE)),"",VLOOKUP(Table1[[#This Row],[item]],INDIRECT("'"&amp;Table1[[#This Row],[sheet]]&amp;"'!$A$8:$T$42"),Table1[[#This Row],[r]],FALSE))</f>
        <v>0</v>
      </c>
      <c r="AE694">
        <f>IF(VLOOKUP(Table1[[#This Row],[sheet]],Prg!$A$7:$J$31,10,FALSE)="","",VLOOKUP(Table1[[#This Row],[sheet]],Prg!$A$7:$J$31,10,FALSE)*1)</f>
        <v>1</v>
      </c>
      <c r="AF694" t="str">
        <f>VLOOKUP(Table1[[#This Row],[sheet]],Prg!$A$7:$J$31,5,FALSE)</f>
        <v>MALI REP</v>
      </c>
      <c r="AG694">
        <f>ROW()</f>
        <v>694</v>
      </c>
    </row>
    <row r="695" spans="24:33" hidden="1" x14ac:dyDescent="0.25">
      <c r="X695">
        <v>4</v>
      </c>
      <c r="Y695" t="s">
        <v>783</v>
      </c>
      <c r="Z695" t="s">
        <v>784</v>
      </c>
      <c r="AA695" t="str">
        <f>IF(OR(VLOOKUP(Table1[[#This Row],[sheet]],Prg!$A$7:$F$31,6,FALSE)=Prg!$O$2,VLOOKUP(Table1[[#This Row],[sheet]],Prg!$A$7:$F$31,6,FALSE)=Prg!$O$3),"Yes","No")</f>
        <v>Yes</v>
      </c>
      <c r="AB695">
        <v>2026</v>
      </c>
      <c r="AC695">
        <v>19</v>
      </c>
      <c r="AD695">
        <f ca="1">IF(ISERROR(VLOOKUP(Table1[[#This Row],[item]],INDIRECT("'"&amp;Table1[[#This Row],[sheet]]&amp;"'!$A$8:$T$42"),Table1[[#This Row],[r]],FALSE)),"",VLOOKUP(Table1[[#This Row],[item]],INDIRECT("'"&amp;Table1[[#This Row],[sheet]]&amp;"'!$A$8:$T$42"),Table1[[#This Row],[r]],FALSE))</f>
        <v>0</v>
      </c>
      <c r="AE695">
        <f>IF(VLOOKUP(Table1[[#This Row],[sheet]],Prg!$A$7:$J$31,10,FALSE)="","",VLOOKUP(Table1[[#This Row],[sheet]],Prg!$A$7:$J$31,10,FALSE)*1)</f>
        <v>1</v>
      </c>
      <c r="AF695" t="str">
        <f>VLOOKUP(Table1[[#This Row],[sheet]],Prg!$A$7:$J$31,5,FALSE)</f>
        <v>MALI REP</v>
      </c>
      <c r="AG695">
        <f>ROW()</f>
        <v>695</v>
      </c>
    </row>
    <row r="696" spans="24:33" hidden="1" x14ac:dyDescent="0.25">
      <c r="X696">
        <v>4</v>
      </c>
      <c r="Y696" t="s">
        <v>785</v>
      </c>
      <c r="Z696" t="s">
        <v>786</v>
      </c>
      <c r="AA696" t="str">
        <f>IF(OR(VLOOKUP(Table1[[#This Row],[sheet]],Prg!$A$7:$F$31,6,FALSE)=Prg!$O$2,VLOOKUP(Table1[[#This Row],[sheet]],Prg!$A$7:$F$31,6,FALSE)=Prg!$O$3),"Yes","No")</f>
        <v>Yes</v>
      </c>
      <c r="AB696">
        <v>2026</v>
      </c>
      <c r="AC696">
        <v>19</v>
      </c>
      <c r="AD696">
        <f ca="1">IF(ISERROR(VLOOKUP(Table1[[#This Row],[item]],INDIRECT("'"&amp;Table1[[#This Row],[sheet]]&amp;"'!$A$8:$T$42"),Table1[[#This Row],[r]],FALSE)),"",VLOOKUP(Table1[[#This Row],[item]],INDIRECT("'"&amp;Table1[[#This Row],[sheet]]&amp;"'!$A$8:$T$42"),Table1[[#This Row],[r]],FALSE))</f>
        <v>249654.45895217487</v>
      </c>
      <c r="AE696">
        <f>IF(VLOOKUP(Table1[[#This Row],[sheet]],Prg!$A$7:$J$31,10,FALSE)="","",VLOOKUP(Table1[[#This Row],[sheet]],Prg!$A$7:$J$31,10,FALSE)*1)</f>
        <v>1</v>
      </c>
      <c r="AF696" t="str">
        <f>VLOOKUP(Table1[[#This Row],[sheet]],Prg!$A$7:$J$31,5,FALSE)</f>
        <v>MALI REP</v>
      </c>
      <c r="AG696">
        <f>ROW()</f>
        <v>696</v>
      </c>
    </row>
    <row r="697" spans="24:33" hidden="1" x14ac:dyDescent="0.25">
      <c r="X697">
        <v>4</v>
      </c>
      <c r="Y697" t="s">
        <v>787</v>
      </c>
      <c r="Z697" t="s">
        <v>633</v>
      </c>
      <c r="AA697" t="str">
        <f>IF(OR(VLOOKUP(Table1[[#This Row],[sheet]],Prg!$A$7:$F$31,6,FALSE)=Prg!$O$2,VLOOKUP(Table1[[#This Row],[sheet]],Prg!$A$7:$F$31,6,FALSE)=Prg!$O$3),"Yes","No")</f>
        <v>Yes</v>
      </c>
      <c r="AB697">
        <v>2026</v>
      </c>
      <c r="AC697">
        <v>19</v>
      </c>
      <c r="AD697">
        <f ca="1">IF(ISERROR(VLOOKUP(Table1[[#This Row],[item]],INDIRECT("'"&amp;Table1[[#This Row],[sheet]]&amp;"'!$A$8:$T$42"),Table1[[#This Row],[r]],FALSE)),"",VLOOKUP(Table1[[#This Row],[item]],INDIRECT("'"&amp;Table1[[#This Row],[sheet]]&amp;"'!$A$8:$T$42"),Table1[[#This Row],[r]],FALSE))</f>
        <v>0</v>
      </c>
      <c r="AE697">
        <f>IF(VLOOKUP(Table1[[#This Row],[sheet]],Prg!$A$7:$J$31,10,FALSE)="","",VLOOKUP(Table1[[#This Row],[sheet]],Prg!$A$7:$J$31,10,FALSE)*1)</f>
        <v>1</v>
      </c>
      <c r="AF697" t="str">
        <f>VLOOKUP(Table1[[#This Row],[sheet]],Prg!$A$7:$J$31,5,FALSE)</f>
        <v>MALI REP</v>
      </c>
      <c r="AG697">
        <f>ROW()</f>
        <v>697</v>
      </c>
    </row>
    <row r="698" spans="24:33" hidden="1" x14ac:dyDescent="0.25">
      <c r="X698">
        <v>4</v>
      </c>
      <c r="Y698" s="53" t="s">
        <v>753</v>
      </c>
      <c r="Z698" s="53" t="s">
        <v>162</v>
      </c>
      <c r="AA698" s="53" t="str">
        <f>IF(OR(VLOOKUP(Table1[[#This Row],[sheet]],Prg!$A$7:$F$31,6,FALSE)=Prg!$O$2,VLOOKUP(Table1[[#This Row],[sheet]],Prg!$A$7:$F$31,6,FALSE)=Prg!$O$3),"Yes","No")</f>
        <v>Yes</v>
      </c>
      <c r="AB698" s="53" t="s">
        <v>78</v>
      </c>
      <c r="AC698">
        <v>20</v>
      </c>
      <c r="AD698">
        <f ca="1">IF(ISERROR(VLOOKUP(Table1[[#This Row],[item]],INDIRECT("'"&amp;Table1[[#This Row],[sheet]]&amp;"'!$A$8:$T$42"),Table1[[#This Row],[r]],FALSE)),"",VLOOKUP(Table1[[#This Row],[item]],INDIRECT("'"&amp;Table1[[#This Row],[sheet]]&amp;"'!$A$8:$T$42"),Table1[[#This Row],[r]],FALSE))</f>
        <v>2290274.0080324071</v>
      </c>
      <c r="AE698">
        <f>IF(VLOOKUP(Table1[[#This Row],[sheet]],Prg!$A$7:$J$31,10,FALSE)="","",VLOOKUP(Table1[[#This Row],[sheet]],Prg!$A$7:$J$31,10,FALSE)*1)</f>
        <v>1</v>
      </c>
      <c r="AF698" t="str">
        <f>VLOOKUP(Table1[[#This Row],[sheet]],Prg!$A$7:$J$31,5,FALSE)</f>
        <v>MALI REP</v>
      </c>
      <c r="AG698">
        <f>ROW()</f>
        <v>698</v>
      </c>
    </row>
    <row r="699" spans="24:33" hidden="1" x14ac:dyDescent="0.25">
      <c r="X699">
        <v>4</v>
      </c>
      <c r="Y699" t="s">
        <v>754</v>
      </c>
      <c r="Z699" t="s">
        <v>164</v>
      </c>
      <c r="AA699" t="str">
        <f>IF(OR(VLOOKUP(Table1[[#This Row],[sheet]],Prg!$A$7:$F$31,6,FALSE)=Prg!$O$2,VLOOKUP(Table1[[#This Row],[sheet]],Prg!$A$7:$F$31,6,FALSE)=Prg!$O$3),"Yes","No")</f>
        <v>Yes</v>
      </c>
      <c r="AB699" t="s">
        <v>78</v>
      </c>
      <c r="AC699">
        <v>20</v>
      </c>
      <c r="AD699">
        <f ca="1">IF(ISERROR(VLOOKUP(Table1[[#This Row],[item]],INDIRECT("'"&amp;Table1[[#This Row],[sheet]]&amp;"'!$A$8:$T$42"),Table1[[#This Row],[r]],FALSE)),"",VLOOKUP(Table1[[#This Row],[item]],INDIRECT("'"&amp;Table1[[#This Row],[sheet]]&amp;"'!$A$8:$T$42"),Table1[[#This Row],[r]],FALSE))</f>
        <v>161185.76711149269</v>
      </c>
      <c r="AE699">
        <f>IF(VLOOKUP(Table1[[#This Row],[sheet]],Prg!$A$7:$J$31,10,FALSE)="","",VLOOKUP(Table1[[#This Row],[sheet]],Prg!$A$7:$J$31,10,FALSE)*1)</f>
        <v>1</v>
      </c>
      <c r="AF699" t="str">
        <f>VLOOKUP(Table1[[#This Row],[sheet]],Prg!$A$7:$J$31,5,FALSE)</f>
        <v>MALI REP</v>
      </c>
      <c r="AG699">
        <f>ROW()</f>
        <v>699</v>
      </c>
    </row>
    <row r="700" spans="24:33" hidden="1" x14ac:dyDescent="0.25">
      <c r="X700">
        <v>4</v>
      </c>
      <c r="Y700" t="s">
        <v>755</v>
      </c>
      <c r="Z700" t="s">
        <v>166</v>
      </c>
      <c r="AA700" t="str">
        <f>IF(OR(VLOOKUP(Table1[[#This Row],[sheet]],Prg!$A$7:$F$31,6,FALSE)=Prg!$O$2,VLOOKUP(Table1[[#This Row],[sheet]],Prg!$A$7:$F$31,6,FALSE)=Prg!$O$3),"Yes","No")</f>
        <v>Yes</v>
      </c>
      <c r="AB700" t="s">
        <v>78</v>
      </c>
      <c r="AC700">
        <v>20</v>
      </c>
      <c r="AD700">
        <f ca="1">IF(ISERROR(VLOOKUP(Table1[[#This Row],[item]],INDIRECT("'"&amp;Table1[[#This Row],[sheet]]&amp;"'!$A$8:$T$42"),Table1[[#This Row],[r]],FALSE)),"",VLOOKUP(Table1[[#This Row],[item]],INDIRECT("'"&amp;Table1[[#This Row],[sheet]]&amp;"'!$A$8:$T$42"),Table1[[#This Row],[r]],FALSE))</f>
        <v>1696362.42</v>
      </c>
      <c r="AE700">
        <f>IF(VLOOKUP(Table1[[#This Row],[sheet]],Prg!$A$7:$J$31,10,FALSE)="","",VLOOKUP(Table1[[#This Row],[sheet]],Prg!$A$7:$J$31,10,FALSE)*1)</f>
        <v>1</v>
      </c>
      <c r="AF700" t="str">
        <f>VLOOKUP(Table1[[#This Row],[sheet]],Prg!$A$7:$J$31,5,FALSE)</f>
        <v>MALI REP</v>
      </c>
      <c r="AG700">
        <f>ROW()</f>
        <v>700</v>
      </c>
    </row>
    <row r="701" spans="24:33" hidden="1" x14ac:dyDescent="0.25">
      <c r="X701">
        <v>4</v>
      </c>
      <c r="Y701" t="s">
        <v>756</v>
      </c>
      <c r="Z701" t="s">
        <v>757</v>
      </c>
      <c r="AA701" t="str">
        <f>IF(OR(VLOOKUP(Table1[[#This Row],[sheet]],Prg!$A$7:$F$31,6,FALSE)=Prg!$O$2,VLOOKUP(Table1[[#This Row],[sheet]],Prg!$A$7:$F$31,6,FALSE)=Prg!$O$3),"Yes","No")</f>
        <v>Yes</v>
      </c>
      <c r="AB701" t="s">
        <v>78</v>
      </c>
      <c r="AC701">
        <v>20</v>
      </c>
      <c r="AD701">
        <f ca="1">IF(ISERROR(VLOOKUP(Table1[[#This Row],[item]],INDIRECT("'"&amp;Table1[[#This Row],[sheet]]&amp;"'!$A$8:$T$42"),Table1[[#This Row],[r]],FALSE)),"",VLOOKUP(Table1[[#This Row],[item]],INDIRECT("'"&amp;Table1[[#This Row],[sheet]]&amp;"'!$A$8:$T$42"),Table1[[#This Row],[r]],FALSE))</f>
        <v>432725.82092091424</v>
      </c>
      <c r="AE701">
        <f>IF(VLOOKUP(Table1[[#This Row],[sheet]],Prg!$A$7:$J$31,10,FALSE)="","",VLOOKUP(Table1[[#This Row],[sheet]],Prg!$A$7:$J$31,10,FALSE)*1)</f>
        <v>1</v>
      </c>
      <c r="AF701" t="str">
        <f>VLOOKUP(Table1[[#This Row],[sheet]],Prg!$A$7:$J$31,5,FALSE)</f>
        <v>MALI REP</v>
      </c>
      <c r="AG701">
        <f>ROW()</f>
        <v>701</v>
      </c>
    </row>
    <row r="702" spans="24:33" hidden="1" x14ac:dyDescent="0.25">
      <c r="X702">
        <v>4</v>
      </c>
      <c r="Y702" t="s">
        <v>758</v>
      </c>
      <c r="Z702" t="s">
        <v>170</v>
      </c>
      <c r="AA702" t="str">
        <f>IF(OR(VLOOKUP(Table1[[#This Row],[sheet]],Prg!$A$7:$F$31,6,FALSE)=Prg!$O$2,VLOOKUP(Table1[[#This Row],[sheet]],Prg!$A$7:$F$31,6,FALSE)=Prg!$O$3),"Yes","No")</f>
        <v>Yes</v>
      </c>
      <c r="AB702" t="s">
        <v>78</v>
      </c>
      <c r="AC702">
        <v>20</v>
      </c>
      <c r="AD702">
        <f ca="1">IF(ISERROR(VLOOKUP(Table1[[#This Row],[item]],INDIRECT("'"&amp;Table1[[#This Row],[sheet]]&amp;"'!$A$8:$T$42"),Table1[[#This Row],[r]],FALSE)),"",VLOOKUP(Table1[[#This Row],[item]],INDIRECT("'"&amp;Table1[[#This Row],[sheet]]&amp;"'!$A$8:$T$42"),Table1[[#This Row],[r]],FALSE))</f>
        <v>107385.84999999999</v>
      </c>
      <c r="AE702">
        <f>IF(VLOOKUP(Table1[[#This Row],[sheet]],Prg!$A$7:$J$31,10,FALSE)="","",VLOOKUP(Table1[[#This Row],[sheet]],Prg!$A$7:$J$31,10,FALSE)*1)</f>
        <v>1</v>
      </c>
      <c r="AF702" t="str">
        <f>VLOOKUP(Table1[[#This Row],[sheet]],Prg!$A$7:$J$31,5,FALSE)</f>
        <v>MALI REP</v>
      </c>
      <c r="AG702">
        <f>ROW()</f>
        <v>702</v>
      </c>
    </row>
    <row r="703" spans="24:33" hidden="1" x14ac:dyDescent="0.25">
      <c r="X703">
        <v>4</v>
      </c>
      <c r="Y703" t="s">
        <v>759</v>
      </c>
      <c r="Z703" t="s">
        <v>172</v>
      </c>
      <c r="AA703" t="str">
        <f>IF(OR(VLOOKUP(Table1[[#This Row],[sheet]],Prg!$A$7:$F$31,6,FALSE)=Prg!$O$2,VLOOKUP(Table1[[#This Row],[sheet]],Prg!$A$7:$F$31,6,FALSE)=Prg!$O$3),"Yes","No")</f>
        <v>Yes</v>
      </c>
      <c r="AB703" t="s">
        <v>78</v>
      </c>
      <c r="AC703">
        <v>20</v>
      </c>
      <c r="AD703">
        <f ca="1">IF(ISERROR(VLOOKUP(Table1[[#This Row],[item]],INDIRECT("'"&amp;Table1[[#This Row],[sheet]]&amp;"'!$A$8:$T$42"),Table1[[#This Row],[r]],FALSE)),"",VLOOKUP(Table1[[#This Row],[item]],INDIRECT("'"&amp;Table1[[#This Row],[sheet]]&amp;"'!$A$8:$T$42"),Table1[[#This Row],[r]],FALSE))</f>
        <v>0</v>
      </c>
      <c r="AE703">
        <f>IF(VLOOKUP(Table1[[#This Row],[sheet]],Prg!$A$7:$J$31,10,FALSE)="","",VLOOKUP(Table1[[#This Row],[sheet]],Prg!$A$7:$J$31,10,FALSE)*1)</f>
        <v>1</v>
      </c>
      <c r="AF703" t="str">
        <f>VLOOKUP(Table1[[#This Row],[sheet]],Prg!$A$7:$J$31,5,FALSE)</f>
        <v>MALI REP</v>
      </c>
      <c r="AG703">
        <f>ROW()</f>
        <v>703</v>
      </c>
    </row>
    <row r="704" spans="24:33" hidden="1" x14ac:dyDescent="0.25">
      <c r="X704">
        <v>4</v>
      </c>
      <c r="Y704" t="s">
        <v>760</v>
      </c>
      <c r="Z704" t="s">
        <v>174</v>
      </c>
      <c r="AA704" t="str">
        <f>IF(OR(VLOOKUP(Table1[[#This Row],[sheet]],Prg!$A$7:$F$31,6,FALSE)=Prg!$O$2,VLOOKUP(Table1[[#This Row],[sheet]],Prg!$A$7:$F$31,6,FALSE)=Prg!$O$3),"Yes","No")</f>
        <v>Yes</v>
      </c>
      <c r="AB704" t="s">
        <v>78</v>
      </c>
      <c r="AC704">
        <v>20</v>
      </c>
      <c r="AD704">
        <f ca="1">IF(ISERROR(VLOOKUP(Table1[[#This Row],[item]],INDIRECT("'"&amp;Table1[[#This Row],[sheet]]&amp;"'!$A$8:$T$42"),Table1[[#This Row],[r]],FALSE)),"",VLOOKUP(Table1[[#This Row],[item]],INDIRECT("'"&amp;Table1[[#This Row],[sheet]]&amp;"'!$A$8:$T$42"),Table1[[#This Row],[r]],FALSE))</f>
        <v>107385.84999999999</v>
      </c>
      <c r="AE704">
        <f>IF(VLOOKUP(Table1[[#This Row],[sheet]],Prg!$A$7:$J$31,10,FALSE)="","",VLOOKUP(Table1[[#This Row],[sheet]],Prg!$A$7:$J$31,10,FALSE)*1)</f>
        <v>1</v>
      </c>
      <c r="AF704" t="str">
        <f>VLOOKUP(Table1[[#This Row],[sheet]],Prg!$A$7:$J$31,5,FALSE)</f>
        <v>MALI REP</v>
      </c>
      <c r="AG704">
        <f>ROW()</f>
        <v>704</v>
      </c>
    </row>
    <row r="705" spans="24:33" hidden="1" x14ac:dyDescent="0.25">
      <c r="X705">
        <v>4</v>
      </c>
      <c r="Y705" t="s">
        <v>761</v>
      </c>
      <c r="Z705" t="s">
        <v>762</v>
      </c>
      <c r="AA705" t="str">
        <f>IF(OR(VLOOKUP(Table1[[#This Row],[sheet]],Prg!$A$7:$F$31,6,FALSE)=Prg!$O$2,VLOOKUP(Table1[[#This Row],[sheet]],Prg!$A$7:$F$31,6,FALSE)=Prg!$O$3),"Yes","No")</f>
        <v>Yes</v>
      </c>
      <c r="AB705" t="s">
        <v>78</v>
      </c>
      <c r="AC705">
        <v>20</v>
      </c>
      <c r="AD705">
        <f ca="1">IF(ISERROR(VLOOKUP(Table1[[#This Row],[item]],INDIRECT("'"&amp;Table1[[#This Row],[sheet]]&amp;"'!$A$8:$T$42"),Table1[[#This Row],[r]],FALSE)),"",VLOOKUP(Table1[[#This Row],[item]],INDIRECT("'"&amp;Table1[[#This Row],[sheet]]&amp;"'!$A$8:$T$42"),Table1[[#This Row],[r]],FALSE))</f>
        <v>0</v>
      </c>
      <c r="AE705">
        <f>IF(VLOOKUP(Table1[[#This Row],[sheet]],Prg!$A$7:$J$31,10,FALSE)="","",VLOOKUP(Table1[[#This Row],[sheet]],Prg!$A$7:$J$31,10,FALSE)*1)</f>
        <v>1</v>
      </c>
      <c r="AF705" t="str">
        <f>VLOOKUP(Table1[[#This Row],[sheet]],Prg!$A$7:$J$31,5,FALSE)</f>
        <v>MALI REP</v>
      </c>
      <c r="AG705">
        <f>ROW()</f>
        <v>705</v>
      </c>
    </row>
    <row r="706" spans="24:33" hidden="1" x14ac:dyDescent="0.25">
      <c r="X706">
        <v>4</v>
      </c>
      <c r="Y706" t="s">
        <v>763</v>
      </c>
      <c r="Z706" t="s">
        <v>178</v>
      </c>
      <c r="AA706" t="str">
        <f>IF(OR(VLOOKUP(Table1[[#This Row],[sheet]],Prg!$A$7:$F$31,6,FALSE)=Prg!$O$2,VLOOKUP(Table1[[#This Row],[sheet]],Prg!$A$7:$F$31,6,FALSE)=Prg!$O$3),"Yes","No")</f>
        <v>Yes</v>
      </c>
      <c r="AB706" t="s">
        <v>78</v>
      </c>
      <c r="AC706">
        <v>20</v>
      </c>
      <c r="AD706">
        <f ca="1">IF(ISERROR(VLOOKUP(Table1[[#This Row],[item]],INDIRECT("'"&amp;Table1[[#This Row],[sheet]]&amp;"'!$A$8:$T$42"),Table1[[#This Row],[r]],FALSE)),"",VLOOKUP(Table1[[#This Row],[item]],INDIRECT("'"&amp;Table1[[#This Row],[sheet]]&amp;"'!$A$8:$T$42"),Table1[[#This Row],[r]],FALSE))</f>
        <v>944123.35729030939</v>
      </c>
      <c r="AE706">
        <f>IF(VLOOKUP(Table1[[#This Row],[sheet]],Prg!$A$7:$J$31,10,FALSE)="","",VLOOKUP(Table1[[#This Row],[sheet]],Prg!$A$7:$J$31,10,FALSE)*1)</f>
        <v>1</v>
      </c>
      <c r="AF706" t="str">
        <f>VLOOKUP(Table1[[#This Row],[sheet]],Prg!$A$7:$J$31,5,FALSE)</f>
        <v>MALI REP</v>
      </c>
      <c r="AG706">
        <f>ROW()</f>
        <v>706</v>
      </c>
    </row>
    <row r="707" spans="24:33" hidden="1" x14ac:dyDescent="0.25">
      <c r="X707">
        <v>4</v>
      </c>
      <c r="Y707" t="s">
        <v>764</v>
      </c>
      <c r="Z707" t="s">
        <v>109</v>
      </c>
      <c r="AA707" t="str">
        <f>IF(OR(VLOOKUP(Table1[[#This Row],[sheet]],Prg!$A$7:$F$31,6,FALSE)=Prg!$O$2,VLOOKUP(Table1[[#This Row],[sheet]],Prg!$A$7:$F$31,6,FALSE)=Prg!$O$3),"Yes","No")</f>
        <v>Yes</v>
      </c>
      <c r="AB707" t="s">
        <v>78</v>
      </c>
      <c r="AC707">
        <v>20</v>
      </c>
      <c r="AD707">
        <f ca="1">IF(ISERROR(VLOOKUP(Table1[[#This Row],[item]],INDIRECT("'"&amp;Table1[[#This Row],[sheet]]&amp;"'!$A$8:$T$42"),Table1[[#This Row],[r]],FALSE)),"",VLOOKUP(Table1[[#This Row],[item]],INDIRECT("'"&amp;Table1[[#This Row],[sheet]]&amp;"'!$A$8:$T$42"),Table1[[#This Row],[r]],FALSE))</f>
        <v>58466.112402524057</v>
      </c>
      <c r="AE707">
        <f>IF(VLOOKUP(Table1[[#This Row],[sheet]],Prg!$A$7:$J$31,10,FALSE)="","",VLOOKUP(Table1[[#This Row],[sheet]],Prg!$A$7:$J$31,10,FALSE)*1)</f>
        <v>1</v>
      </c>
      <c r="AF707" t="str">
        <f>VLOOKUP(Table1[[#This Row],[sheet]],Prg!$A$7:$J$31,5,FALSE)</f>
        <v>MALI REP</v>
      </c>
      <c r="AG707">
        <f>ROW()</f>
        <v>707</v>
      </c>
    </row>
    <row r="708" spans="24:33" hidden="1" x14ac:dyDescent="0.25">
      <c r="X708">
        <v>4</v>
      </c>
      <c r="Y708" t="s">
        <v>765</v>
      </c>
      <c r="Z708" t="s">
        <v>117</v>
      </c>
      <c r="AA708" t="str">
        <f>IF(OR(VLOOKUP(Table1[[#This Row],[sheet]],Prg!$A$7:$F$31,6,FALSE)=Prg!$O$2,VLOOKUP(Table1[[#This Row],[sheet]],Prg!$A$7:$F$31,6,FALSE)=Prg!$O$3),"Yes","No")</f>
        <v>Yes</v>
      </c>
      <c r="AB708" t="s">
        <v>78</v>
      </c>
      <c r="AC708">
        <v>20</v>
      </c>
      <c r="AD708">
        <f ca="1">IF(ISERROR(VLOOKUP(Table1[[#This Row],[item]],INDIRECT("'"&amp;Table1[[#This Row],[sheet]]&amp;"'!$A$8:$T$42"),Table1[[#This Row],[r]],FALSE)),"",VLOOKUP(Table1[[#This Row],[item]],INDIRECT("'"&amp;Table1[[#This Row],[sheet]]&amp;"'!$A$8:$T$42"),Table1[[#This Row],[r]],FALSE))</f>
        <v>320110.77</v>
      </c>
      <c r="AE708">
        <f>IF(VLOOKUP(Table1[[#This Row],[sheet]],Prg!$A$7:$J$31,10,FALSE)="","",VLOOKUP(Table1[[#This Row],[sheet]],Prg!$A$7:$J$31,10,FALSE)*1)</f>
        <v>1</v>
      </c>
      <c r="AF708" t="str">
        <f>VLOOKUP(Table1[[#This Row],[sheet]],Prg!$A$7:$J$31,5,FALSE)</f>
        <v>MALI REP</v>
      </c>
      <c r="AG708">
        <f>ROW()</f>
        <v>708</v>
      </c>
    </row>
    <row r="709" spans="24:33" hidden="1" x14ac:dyDescent="0.25">
      <c r="X709">
        <v>4</v>
      </c>
      <c r="Y709" t="s">
        <v>766</v>
      </c>
      <c r="Z709" t="s">
        <v>767</v>
      </c>
      <c r="AA709" t="str">
        <f>IF(OR(VLOOKUP(Table1[[#This Row],[sheet]],Prg!$A$7:$F$31,6,FALSE)=Prg!$O$2,VLOOKUP(Table1[[#This Row],[sheet]],Prg!$A$7:$F$31,6,FALSE)=Prg!$O$3),"Yes","No")</f>
        <v>Yes</v>
      </c>
      <c r="AB709" t="s">
        <v>78</v>
      </c>
      <c r="AC709">
        <v>20</v>
      </c>
      <c r="AD709">
        <f ca="1">IF(ISERROR(VLOOKUP(Table1[[#This Row],[item]],INDIRECT("'"&amp;Table1[[#This Row],[sheet]]&amp;"'!$A$8:$T$42"),Table1[[#This Row],[r]],FALSE)),"",VLOOKUP(Table1[[#This Row],[item]],INDIRECT("'"&amp;Table1[[#This Row],[sheet]]&amp;"'!$A$8:$T$42"),Table1[[#This Row],[r]],FALSE))</f>
        <v>565546.47488778527</v>
      </c>
      <c r="AE709">
        <f>IF(VLOOKUP(Table1[[#This Row],[sheet]],Prg!$A$7:$J$31,10,FALSE)="","",VLOOKUP(Table1[[#This Row],[sheet]],Prg!$A$7:$J$31,10,FALSE)*1)</f>
        <v>1</v>
      </c>
      <c r="AF709" t="str">
        <f>VLOOKUP(Table1[[#This Row],[sheet]],Prg!$A$7:$J$31,5,FALSE)</f>
        <v>MALI REP</v>
      </c>
      <c r="AG709">
        <f>ROW()</f>
        <v>709</v>
      </c>
    </row>
    <row r="710" spans="24:33" hidden="1" x14ac:dyDescent="0.25">
      <c r="X710">
        <v>4</v>
      </c>
      <c r="Y710" t="s">
        <v>768</v>
      </c>
      <c r="Z710" t="s">
        <v>182</v>
      </c>
      <c r="AA710" t="str">
        <f>IF(OR(VLOOKUP(Table1[[#This Row],[sheet]],Prg!$A$7:$F$31,6,FALSE)=Prg!$O$2,VLOOKUP(Table1[[#This Row],[sheet]],Prg!$A$7:$F$31,6,FALSE)=Prg!$O$3),"Yes","No")</f>
        <v>Yes</v>
      </c>
      <c r="AB710" t="s">
        <v>78</v>
      </c>
      <c r="AC710">
        <v>20</v>
      </c>
      <c r="AD710">
        <f ca="1">IF(ISERROR(VLOOKUP(Table1[[#This Row],[item]],INDIRECT("'"&amp;Table1[[#This Row],[sheet]]&amp;"'!$A$8:$T$42"),Table1[[#This Row],[r]],FALSE)),"",VLOOKUP(Table1[[#This Row],[item]],INDIRECT("'"&amp;Table1[[#This Row],[sheet]]&amp;"'!$A$8:$T$42"),Table1[[#This Row],[r]],FALSE))</f>
        <v>20000</v>
      </c>
      <c r="AE710">
        <f>IF(VLOOKUP(Table1[[#This Row],[sheet]],Prg!$A$7:$J$31,10,FALSE)="","",VLOOKUP(Table1[[#This Row],[sheet]],Prg!$A$7:$J$31,10,FALSE)*1)</f>
        <v>1</v>
      </c>
      <c r="AF710" t="str">
        <f>VLOOKUP(Table1[[#This Row],[sheet]],Prg!$A$7:$J$31,5,FALSE)</f>
        <v>MALI REP</v>
      </c>
      <c r="AG710">
        <f>ROW()</f>
        <v>710</v>
      </c>
    </row>
    <row r="711" spans="24:33" hidden="1" x14ac:dyDescent="0.25">
      <c r="X711">
        <v>4</v>
      </c>
      <c r="Y711" t="s">
        <v>769</v>
      </c>
      <c r="Z711" t="s">
        <v>184</v>
      </c>
      <c r="AA711" t="str">
        <f>IF(OR(VLOOKUP(Table1[[#This Row],[sheet]],Prg!$A$7:$F$31,6,FALSE)=Prg!$O$2,VLOOKUP(Table1[[#This Row],[sheet]],Prg!$A$7:$F$31,6,FALSE)=Prg!$O$3),"Yes","No")</f>
        <v>Yes</v>
      </c>
      <c r="AB711" t="s">
        <v>78</v>
      </c>
      <c r="AC711">
        <v>20</v>
      </c>
      <c r="AD711">
        <f ca="1">IF(ISERROR(VLOOKUP(Table1[[#This Row],[item]],INDIRECT("'"&amp;Table1[[#This Row],[sheet]]&amp;"'!$A$8:$T$42"),Table1[[#This Row],[r]],FALSE)),"",VLOOKUP(Table1[[#This Row],[item]],INDIRECT("'"&amp;Table1[[#This Row],[sheet]]&amp;"'!$A$8:$T$42"),Table1[[#This Row],[r]],FALSE))</f>
        <v>0</v>
      </c>
      <c r="AE711">
        <f>IF(VLOOKUP(Table1[[#This Row],[sheet]],Prg!$A$7:$J$31,10,FALSE)="","",VLOOKUP(Table1[[#This Row],[sheet]],Prg!$A$7:$J$31,10,FALSE)*1)</f>
        <v>1</v>
      </c>
      <c r="AF711" t="str">
        <f>VLOOKUP(Table1[[#This Row],[sheet]],Prg!$A$7:$J$31,5,FALSE)</f>
        <v>MALI REP</v>
      </c>
      <c r="AG711">
        <f>ROW()</f>
        <v>711</v>
      </c>
    </row>
    <row r="712" spans="24:33" hidden="1" x14ac:dyDescent="0.25">
      <c r="X712">
        <v>4</v>
      </c>
      <c r="Y712" t="s">
        <v>770</v>
      </c>
      <c r="Z712" t="s">
        <v>186</v>
      </c>
      <c r="AA712" t="str">
        <f>IF(OR(VLOOKUP(Table1[[#This Row],[sheet]],Prg!$A$7:$F$31,6,FALSE)=Prg!$O$2,VLOOKUP(Table1[[#This Row],[sheet]],Prg!$A$7:$F$31,6,FALSE)=Prg!$O$3),"Yes","No")</f>
        <v>Yes</v>
      </c>
      <c r="AB712" t="s">
        <v>78</v>
      </c>
      <c r="AC712">
        <v>20</v>
      </c>
      <c r="AD712">
        <f ca="1">IF(ISERROR(VLOOKUP(Table1[[#This Row],[item]],INDIRECT("'"&amp;Table1[[#This Row],[sheet]]&amp;"'!$A$8:$T$42"),Table1[[#This Row],[r]],FALSE)),"",VLOOKUP(Table1[[#This Row],[item]],INDIRECT("'"&amp;Table1[[#This Row],[sheet]]&amp;"'!$A$8:$T$42"),Table1[[#This Row],[r]],FALSE))</f>
        <v>20000</v>
      </c>
      <c r="AE712">
        <f>IF(VLOOKUP(Table1[[#This Row],[sheet]],Prg!$A$7:$J$31,10,FALSE)="","",VLOOKUP(Table1[[#This Row],[sheet]],Prg!$A$7:$J$31,10,FALSE)*1)</f>
        <v>1</v>
      </c>
      <c r="AF712" t="str">
        <f>VLOOKUP(Table1[[#This Row],[sheet]],Prg!$A$7:$J$31,5,FALSE)</f>
        <v>MALI REP</v>
      </c>
      <c r="AG712">
        <f>ROW()</f>
        <v>712</v>
      </c>
    </row>
    <row r="713" spans="24:33" hidden="1" x14ac:dyDescent="0.25">
      <c r="X713">
        <v>4</v>
      </c>
      <c r="Y713" t="s">
        <v>771</v>
      </c>
      <c r="Z713" t="s">
        <v>772</v>
      </c>
      <c r="AA713" t="str">
        <f>IF(OR(VLOOKUP(Table1[[#This Row],[sheet]],Prg!$A$7:$F$31,6,FALSE)=Prg!$O$2,VLOOKUP(Table1[[#This Row],[sheet]],Prg!$A$7:$F$31,6,FALSE)=Prg!$O$3),"Yes","No")</f>
        <v>Yes</v>
      </c>
      <c r="AB713" t="s">
        <v>78</v>
      </c>
      <c r="AC713">
        <v>20</v>
      </c>
      <c r="AD713">
        <f ca="1">IF(ISERROR(VLOOKUP(Table1[[#This Row],[item]],INDIRECT("'"&amp;Table1[[#This Row],[sheet]]&amp;"'!$A$8:$T$42"),Table1[[#This Row],[r]],FALSE)),"",VLOOKUP(Table1[[#This Row],[item]],INDIRECT("'"&amp;Table1[[#This Row],[sheet]]&amp;"'!$A$8:$T$42"),Table1[[#This Row],[r]],FALSE))</f>
        <v>0</v>
      </c>
      <c r="AE713">
        <f>IF(VLOOKUP(Table1[[#This Row],[sheet]],Prg!$A$7:$J$31,10,FALSE)="","",VLOOKUP(Table1[[#This Row],[sheet]],Prg!$A$7:$J$31,10,FALSE)*1)</f>
        <v>1</v>
      </c>
      <c r="AF713" t="str">
        <f>VLOOKUP(Table1[[#This Row],[sheet]],Prg!$A$7:$J$31,5,FALSE)</f>
        <v>MALI REP</v>
      </c>
      <c r="AG713">
        <f>ROW()</f>
        <v>713</v>
      </c>
    </row>
    <row r="714" spans="24:33" hidden="1" x14ac:dyDescent="0.25">
      <c r="X714">
        <v>4</v>
      </c>
      <c r="Y714" t="s">
        <v>773</v>
      </c>
      <c r="Z714" t="s">
        <v>190</v>
      </c>
      <c r="AA714" t="str">
        <f>IF(OR(VLOOKUP(Table1[[#This Row],[sheet]],Prg!$A$7:$F$31,6,FALSE)=Prg!$O$2,VLOOKUP(Table1[[#This Row],[sheet]],Prg!$A$7:$F$31,6,FALSE)=Prg!$O$3),"Yes","No")</f>
        <v>Yes</v>
      </c>
      <c r="AB714" t="s">
        <v>78</v>
      </c>
      <c r="AC714">
        <v>20</v>
      </c>
      <c r="AD714">
        <f ca="1">IF(ISERROR(VLOOKUP(Table1[[#This Row],[item]],INDIRECT("'"&amp;Table1[[#This Row],[sheet]]&amp;"'!$A$8:$T$42"),Table1[[#This Row],[r]],FALSE)),"",VLOOKUP(Table1[[#This Row],[item]],INDIRECT("'"&amp;Table1[[#This Row],[sheet]]&amp;"'!$A$8:$T$42"),Table1[[#This Row],[r]],FALSE))</f>
        <v>3361783.2153227162</v>
      </c>
      <c r="AE714">
        <f>IF(VLOOKUP(Table1[[#This Row],[sheet]],Prg!$A$7:$J$31,10,FALSE)="","",VLOOKUP(Table1[[#This Row],[sheet]],Prg!$A$7:$J$31,10,FALSE)*1)</f>
        <v>1</v>
      </c>
      <c r="AF714" t="str">
        <f>VLOOKUP(Table1[[#This Row],[sheet]],Prg!$A$7:$J$31,5,FALSE)</f>
        <v>MALI REP</v>
      </c>
      <c r="AG714">
        <f>ROW()</f>
        <v>714</v>
      </c>
    </row>
    <row r="715" spans="24:33" hidden="1" x14ac:dyDescent="0.25">
      <c r="X715">
        <v>4</v>
      </c>
      <c r="Y715" t="s">
        <v>709</v>
      </c>
      <c r="Z715" t="s">
        <v>192</v>
      </c>
      <c r="AA715" t="str">
        <f>IF(OR(VLOOKUP(Table1[[#This Row],[sheet]],Prg!$A$7:$F$31,6,FALSE)=Prg!$O$2,VLOOKUP(Table1[[#This Row],[sheet]],Prg!$A$7:$F$31,6,FALSE)=Prg!$O$3),"Yes","No")</f>
        <v>Yes</v>
      </c>
      <c r="AB715" t="s">
        <v>78</v>
      </c>
      <c r="AC715">
        <v>20</v>
      </c>
      <c r="AD715">
        <f ca="1">IF(ISERROR(VLOOKUP(Table1[[#This Row],[item]],INDIRECT("'"&amp;Table1[[#This Row],[sheet]]&amp;"'!$A$8:$T$42"),Table1[[#This Row],[r]],FALSE)),"",VLOOKUP(Table1[[#This Row],[item]],INDIRECT("'"&amp;Table1[[#This Row],[sheet]]&amp;"'!$A$8:$T$42"),Table1[[#This Row],[r]],FALSE))</f>
        <v>219651.87951401676</v>
      </c>
      <c r="AE715">
        <f>IF(VLOOKUP(Table1[[#This Row],[sheet]],Prg!$A$7:$J$31,10,FALSE)="","",VLOOKUP(Table1[[#This Row],[sheet]],Prg!$A$7:$J$31,10,FALSE)*1)</f>
        <v>1</v>
      </c>
      <c r="AF715" t="str">
        <f>VLOOKUP(Table1[[#This Row],[sheet]],Prg!$A$7:$J$31,5,FALSE)</f>
        <v>MALI REP</v>
      </c>
      <c r="AG715">
        <f>ROW()</f>
        <v>715</v>
      </c>
    </row>
    <row r="716" spans="24:33" hidden="1" x14ac:dyDescent="0.25">
      <c r="X716">
        <v>4</v>
      </c>
      <c r="Y716" t="s">
        <v>774</v>
      </c>
      <c r="Z716" t="s">
        <v>194</v>
      </c>
      <c r="AA716" t="str">
        <f>IF(OR(VLOOKUP(Table1[[#This Row],[sheet]],Prg!$A$7:$F$31,6,FALSE)=Prg!$O$2,VLOOKUP(Table1[[#This Row],[sheet]],Prg!$A$7:$F$31,6,FALSE)=Prg!$O$3),"Yes","No")</f>
        <v>Yes</v>
      </c>
      <c r="AB716" t="s">
        <v>78</v>
      </c>
      <c r="AC716">
        <v>20</v>
      </c>
      <c r="AD716">
        <f ca="1">IF(ISERROR(VLOOKUP(Table1[[#This Row],[item]],INDIRECT("'"&amp;Table1[[#This Row],[sheet]]&amp;"'!$A$8:$T$42"),Table1[[#This Row],[r]],FALSE)),"",VLOOKUP(Table1[[#This Row],[item]],INDIRECT("'"&amp;Table1[[#This Row],[sheet]]&amp;"'!$A$8:$T$42"),Table1[[#This Row],[r]],FALSE))</f>
        <v>35065.014952204168</v>
      </c>
      <c r="AE716">
        <f>IF(VLOOKUP(Table1[[#This Row],[sheet]],Prg!$A$7:$J$31,10,FALSE)="","",VLOOKUP(Table1[[#This Row],[sheet]],Prg!$A$7:$J$31,10,FALSE)*1)</f>
        <v>1</v>
      </c>
      <c r="AF716" t="str">
        <f>VLOOKUP(Table1[[#This Row],[sheet]],Prg!$A$7:$J$31,5,FALSE)</f>
        <v>MALI REP</v>
      </c>
      <c r="AG716">
        <f>ROW()</f>
        <v>716</v>
      </c>
    </row>
    <row r="717" spans="24:33" hidden="1" x14ac:dyDescent="0.25">
      <c r="X717">
        <v>4</v>
      </c>
      <c r="Y717" t="s">
        <v>775</v>
      </c>
      <c r="Z717" t="s">
        <v>196</v>
      </c>
      <c r="AA717" t="str">
        <f>IF(OR(VLOOKUP(Table1[[#This Row],[sheet]],Prg!$A$7:$F$31,6,FALSE)=Prg!$O$2,VLOOKUP(Table1[[#This Row],[sheet]],Prg!$A$7:$F$31,6,FALSE)=Prg!$O$3),"Yes","No")</f>
        <v>Yes</v>
      </c>
      <c r="AB717" t="s">
        <v>78</v>
      </c>
      <c r="AC717">
        <v>20</v>
      </c>
      <c r="AD717">
        <f ca="1">IF(ISERROR(VLOOKUP(Table1[[#This Row],[item]],INDIRECT("'"&amp;Table1[[#This Row],[sheet]]&amp;"'!$A$8:$T$42"),Table1[[#This Row],[r]],FALSE)),"",VLOOKUP(Table1[[#This Row],[item]],INDIRECT("'"&amp;Table1[[#This Row],[sheet]]&amp;"'!$A$8:$T$42"),Table1[[#This Row],[r]],FALSE))</f>
        <v>27456.242545240781</v>
      </c>
      <c r="AE717">
        <f>IF(VLOOKUP(Table1[[#This Row],[sheet]],Prg!$A$7:$J$31,10,FALSE)="","",VLOOKUP(Table1[[#This Row],[sheet]],Prg!$A$7:$J$31,10,FALSE)*1)</f>
        <v>1</v>
      </c>
      <c r="AF717" t="str">
        <f>VLOOKUP(Table1[[#This Row],[sheet]],Prg!$A$7:$J$31,5,FALSE)</f>
        <v>MALI REP</v>
      </c>
      <c r="AG717">
        <f>ROW()</f>
        <v>717</v>
      </c>
    </row>
    <row r="718" spans="24:33" hidden="1" x14ac:dyDescent="0.25">
      <c r="X718">
        <v>4</v>
      </c>
      <c r="Y718" t="s">
        <v>776</v>
      </c>
      <c r="Z718" t="s">
        <v>605</v>
      </c>
      <c r="AA718" t="str">
        <f>IF(OR(VLOOKUP(Table1[[#This Row],[sheet]],Prg!$A$7:$F$31,6,FALSE)=Prg!$O$2,VLOOKUP(Table1[[#This Row],[sheet]],Prg!$A$7:$F$31,6,FALSE)=Prg!$O$3),"Yes","No")</f>
        <v>Yes</v>
      </c>
      <c r="AB718" t="s">
        <v>78</v>
      </c>
      <c r="AC718">
        <v>20</v>
      </c>
      <c r="AD718">
        <f ca="1">IF(ISERROR(VLOOKUP(Table1[[#This Row],[item]],INDIRECT("'"&amp;Table1[[#This Row],[sheet]]&amp;"'!$A$8:$T$42"),Table1[[#This Row],[r]],FALSE)),"",VLOOKUP(Table1[[#This Row],[item]],INDIRECT("'"&amp;Table1[[#This Row],[sheet]]&amp;"'!$A$8:$T$42"),Table1[[#This Row],[r]],FALSE))</f>
        <v>157130.62201657181</v>
      </c>
      <c r="AE718">
        <f>IF(VLOOKUP(Table1[[#This Row],[sheet]],Prg!$A$7:$J$31,10,FALSE)="","",VLOOKUP(Table1[[#This Row],[sheet]],Prg!$A$7:$J$31,10,FALSE)*1)</f>
        <v>1</v>
      </c>
      <c r="AF718" t="str">
        <f>VLOOKUP(Table1[[#This Row],[sheet]],Prg!$A$7:$J$31,5,FALSE)</f>
        <v>MALI REP</v>
      </c>
      <c r="AG718">
        <f>ROW()</f>
        <v>718</v>
      </c>
    </row>
    <row r="719" spans="24:33" hidden="1" x14ac:dyDescent="0.25">
      <c r="X719">
        <v>4</v>
      </c>
      <c r="Y719" t="s">
        <v>711</v>
      </c>
      <c r="Z719" t="s">
        <v>200</v>
      </c>
      <c r="AA719" t="str">
        <f>IF(OR(VLOOKUP(Table1[[#This Row],[sheet]],Prg!$A$7:$F$31,6,FALSE)=Prg!$O$2,VLOOKUP(Table1[[#This Row],[sheet]],Prg!$A$7:$F$31,6,FALSE)=Prg!$O$3),"Yes","No")</f>
        <v>Yes</v>
      </c>
      <c r="AB719" t="s">
        <v>78</v>
      </c>
      <c r="AC719">
        <v>20</v>
      </c>
      <c r="AD719">
        <f ca="1">IF(ISERROR(VLOOKUP(Table1[[#This Row],[item]],INDIRECT("'"&amp;Table1[[#This Row],[sheet]]&amp;"'!$A$8:$T$42"),Table1[[#This Row],[r]],FALSE)),"",VLOOKUP(Table1[[#This Row],[item]],INDIRECT("'"&amp;Table1[[#This Row],[sheet]]&amp;"'!$A$8:$T$42"),Table1[[#This Row],[r]],FALSE))</f>
        <v>2143859.04</v>
      </c>
      <c r="AE719">
        <f>IF(VLOOKUP(Table1[[#This Row],[sheet]],Prg!$A$7:$J$31,10,FALSE)="","",VLOOKUP(Table1[[#This Row],[sheet]],Prg!$A$7:$J$31,10,FALSE)*1)</f>
        <v>1</v>
      </c>
      <c r="AF719" t="str">
        <f>VLOOKUP(Table1[[#This Row],[sheet]],Prg!$A$7:$J$31,5,FALSE)</f>
        <v>MALI REP</v>
      </c>
      <c r="AG719">
        <f>ROW()</f>
        <v>719</v>
      </c>
    </row>
    <row r="720" spans="24:33" hidden="1" x14ac:dyDescent="0.25">
      <c r="X720">
        <v>4</v>
      </c>
      <c r="Y720" t="s">
        <v>777</v>
      </c>
      <c r="Z720" t="s">
        <v>202</v>
      </c>
      <c r="AA720" t="str">
        <f>IF(OR(VLOOKUP(Table1[[#This Row],[sheet]],Prg!$A$7:$F$31,6,FALSE)=Prg!$O$2,VLOOKUP(Table1[[#This Row],[sheet]],Prg!$A$7:$F$31,6,FALSE)=Prg!$O$3),"Yes","No")</f>
        <v>Yes</v>
      </c>
      <c r="AB720" t="s">
        <v>78</v>
      </c>
      <c r="AC720">
        <v>20</v>
      </c>
      <c r="AD720">
        <f ca="1">IF(ISERROR(VLOOKUP(Table1[[#This Row],[item]],INDIRECT("'"&amp;Table1[[#This Row],[sheet]]&amp;"'!$A$8:$T$42"),Table1[[#This Row],[r]],FALSE)),"",VLOOKUP(Table1[[#This Row],[item]],INDIRECT("'"&amp;Table1[[#This Row],[sheet]]&amp;"'!$A$8:$T$42"),Table1[[#This Row],[r]],FALSE))</f>
        <v>48389</v>
      </c>
      <c r="AE720">
        <f>IF(VLOOKUP(Table1[[#This Row],[sheet]],Prg!$A$7:$J$31,10,FALSE)="","",VLOOKUP(Table1[[#This Row],[sheet]],Prg!$A$7:$J$31,10,FALSE)*1)</f>
        <v>1</v>
      </c>
      <c r="AF720" t="str">
        <f>VLOOKUP(Table1[[#This Row],[sheet]],Prg!$A$7:$J$31,5,FALSE)</f>
        <v>MALI REP</v>
      </c>
      <c r="AG720">
        <f>ROW()</f>
        <v>720</v>
      </c>
    </row>
    <row r="721" spans="24:33" hidden="1" x14ac:dyDescent="0.25">
      <c r="X721">
        <v>4</v>
      </c>
      <c r="Y721" t="s">
        <v>778</v>
      </c>
      <c r="Z721" t="s">
        <v>204</v>
      </c>
      <c r="AA721" t="str">
        <f>IF(OR(VLOOKUP(Table1[[#This Row],[sheet]],Prg!$A$7:$F$31,6,FALSE)=Prg!$O$2,VLOOKUP(Table1[[#This Row],[sheet]],Prg!$A$7:$F$31,6,FALSE)=Prg!$O$3),"Yes","No")</f>
        <v>Yes</v>
      </c>
      <c r="AB721" t="s">
        <v>78</v>
      </c>
      <c r="AC721">
        <v>20</v>
      </c>
      <c r="AD721">
        <f ca="1">IF(ISERROR(VLOOKUP(Table1[[#This Row],[item]],INDIRECT("'"&amp;Table1[[#This Row],[sheet]]&amp;"'!$A$8:$T$42"),Table1[[#This Row],[r]],FALSE)),"",VLOOKUP(Table1[[#This Row],[item]],INDIRECT("'"&amp;Table1[[#This Row],[sheet]]&amp;"'!$A$8:$T$42"),Table1[[#This Row],[r]],FALSE))</f>
        <v>115879.06</v>
      </c>
      <c r="AE721">
        <f>IF(VLOOKUP(Table1[[#This Row],[sheet]],Prg!$A$7:$J$31,10,FALSE)="","",VLOOKUP(Table1[[#This Row],[sheet]],Prg!$A$7:$J$31,10,FALSE)*1)</f>
        <v>1</v>
      </c>
      <c r="AF721" t="str">
        <f>VLOOKUP(Table1[[#This Row],[sheet]],Prg!$A$7:$J$31,5,FALSE)</f>
        <v>MALI REP</v>
      </c>
      <c r="AG721">
        <f>ROW()</f>
        <v>721</v>
      </c>
    </row>
    <row r="722" spans="24:33" hidden="1" x14ac:dyDescent="0.25">
      <c r="X722">
        <v>4</v>
      </c>
      <c r="Y722" t="s">
        <v>779</v>
      </c>
      <c r="Z722" t="s">
        <v>605</v>
      </c>
      <c r="AA722" t="str">
        <f>IF(OR(VLOOKUP(Table1[[#This Row],[sheet]],Prg!$A$7:$F$31,6,FALSE)=Prg!$O$2,VLOOKUP(Table1[[#This Row],[sheet]],Prg!$A$7:$F$31,6,FALSE)=Prg!$O$3),"Yes","No")</f>
        <v>Yes</v>
      </c>
      <c r="AB722" t="s">
        <v>78</v>
      </c>
      <c r="AC722">
        <v>20</v>
      </c>
      <c r="AD722">
        <f ca="1">IF(ISERROR(VLOOKUP(Table1[[#This Row],[item]],INDIRECT("'"&amp;Table1[[#This Row],[sheet]]&amp;"'!$A$8:$T$42"),Table1[[#This Row],[r]],FALSE)),"",VLOOKUP(Table1[[#This Row],[item]],INDIRECT("'"&amp;Table1[[#This Row],[sheet]]&amp;"'!$A$8:$T$42"),Table1[[#This Row],[r]],FALSE))</f>
        <v>1979590.98</v>
      </c>
      <c r="AE722">
        <f>IF(VLOOKUP(Table1[[#This Row],[sheet]],Prg!$A$7:$J$31,10,FALSE)="","",VLOOKUP(Table1[[#This Row],[sheet]],Prg!$A$7:$J$31,10,FALSE)*1)</f>
        <v>1</v>
      </c>
      <c r="AF722" t="str">
        <f>VLOOKUP(Table1[[#This Row],[sheet]],Prg!$A$7:$J$31,5,FALSE)</f>
        <v>MALI REP</v>
      </c>
      <c r="AG722">
        <f>ROW()</f>
        <v>722</v>
      </c>
    </row>
    <row r="723" spans="24:33" hidden="1" x14ac:dyDescent="0.25">
      <c r="X723">
        <v>4</v>
      </c>
      <c r="Y723" t="s">
        <v>712</v>
      </c>
      <c r="Z723" t="s">
        <v>780</v>
      </c>
      <c r="AA723" t="str">
        <f>IF(OR(VLOOKUP(Table1[[#This Row],[sheet]],Prg!$A$7:$F$31,6,FALSE)=Prg!$O$2,VLOOKUP(Table1[[#This Row],[sheet]],Prg!$A$7:$F$31,6,FALSE)=Prg!$O$3),"Yes","No")</f>
        <v>Yes</v>
      </c>
      <c r="AB723" t="s">
        <v>78</v>
      </c>
      <c r="AC723">
        <v>20</v>
      </c>
      <c r="AD723">
        <f ca="1">IF(ISERROR(VLOOKUP(Table1[[#This Row],[item]],INDIRECT("'"&amp;Table1[[#This Row],[sheet]]&amp;"'!$A$8:$T$42"),Table1[[#This Row],[r]],FALSE)),"",VLOOKUP(Table1[[#This Row],[item]],INDIRECT("'"&amp;Table1[[#This Row],[sheet]]&amp;"'!$A$8:$T$42"),Table1[[#This Row],[r]],FALSE))</f>
        <v>998272.29580869945</v>
      </c>
      <c r="AE723">
        <f>IF(VLOOKUP(Table1[[#This Row],[sheet]],Prg!$A$7:$J$31,10,FALSE)="","",VLOOKUP(Table1[[#This Row],[sheet]],Prg!$A$7:$J$31,10,FALSE)*1)</f>
        <v>1</v>
      </c>
      <c r="AF723" t="str">
        <f>VLOOKUP(Table1[[#This Row],[sheet]],Prg!$A$7:$J$31,5,FALSE)</f>
        <v>MALI REP</v>
      </c>
      <c r="AG723">
        <f>ROW()</f>
        <v>723</v>
      </c>
    </row>
    <row r="724" spans="24:33" hidden="1" x14ac:dyDescent="0.25">
      <c r="X724">
        <v>4</v>
      </c>
      <c r="Y724" t="s">
        <v>781</v>
      </c>
      <c r="Z724" t="s">
        <v>782</v>
      </c>
      <c r="AA724" t="str">
        <f>IF(OR(VLOOKUP(Table1[[#This Row],[sheet]],Prg!$A$7:$F$31,6,FALSE)=Prg!$O$2,VLOOKUP(Table1[[#This Row],[sheet]],Prg!$A$7:$F$31,6,FALSE)=Prg!$O$3),"Yes","No")</f>
        <v>Yes</v>
      </c>
      <c r="AB724" t="s">
        <v>78</v>
      </c>
      <c r="AC724">
        <v>20</v>
      </c>
      <c r="AD724">
        <f ca="1">IF(ISERROR(VLOOKUP(Table1[[#This Row],[item]],INDIRECT("'"&amp;Table1[[#This Row],[sheet]]&amp;"'!$A$8:$T$42"),Table1[[#This Row],[r]],FALSE)),"",VLOOKUP(Table1[[#This Row],[item]],INDIRECT("'"&amp;Table1[[#This Row],[sheet]]&amp;"'!$A$8:$T$42"),Table1[[#This Row],[r]],FALSE))</f>
        <v>0</v>
      </c>
      <c r="AE724">
        <f>IF(VLOOKUP(Table1[[#This Row],[sheet]],Prg!$A$7:$J$31,10,FALSE)="","",VLOOKUP(Table1[[#This Row],[sheet]],Prg!$A$7:$J$31,10,FALSE)*1)</f>
        <v>1</v>
      </c>
      <c r="AF724" t="str">
        <f>VLOOKUP(Table1[[#This Row],[sheet]],Prg!$A$7:$J$31,5,FALSE)</f>
        <v>MALI REP</v>
      </c>
      <c r="AG724">
        <f>ROW()</f>
        <v>724</v>
      </c>
    </row>
    <row r="725" spans="24:33" hidden="1" x14ac:dyDescent="0.25">
      <c r="X725">
        <v>4</v>
      </c>
      <c r="Y725" t="s">
        <v>783</v>
      </c>
      <c r="Z725" t="s">
        <v>784</v>
      </c>
      <c r="AA725" t="str">
        <f>IF(OR(VLOOKUP(Table1[[#This Row],[sheet]],Prg!$A$7:$F$31,6,FALSE)=Prg!$O$2,VLOOKUP(Table1[[#This Row],[sheet]],Prg!$A$7:$F$31,6,FALSE)=Prg!$O$3),"Yes","No")</f>
        <v>Yes</v>
      </c>
      <c r="AB725" t="s">
        <v>78</v>
      </c>
      <c r="AC725">
        <v>20</v>
      </c>
      <c r="AD725">
        <f ca="1">IF(ISERROR(VLOOKUP(Table1[[#This Row],[item]],INDIRECT("'"&amp;Table1[[#This Row],[sheet]]&amp;"'!$A$8:$T$42"),Table1[[#This Row],[r]],FALSE)),"",VLOOKUP(Table1[[#This Row],[item]],INDIRECT("'"&amp;Table1[[#This Row],[sheet]]&amp;"'!$A$8:$T$42"),Table1[[#This Row],[r]],FALSE))</f>
        <v>0</v>
      </c>
      <c r="AE725">
        <f>IF(VLOOKUP(Table1[[#This Row],[sheet]],Prg!$A$7:$J$31,10,FALSE)="","",VLOOKUP(Table1[[#This Row],[sheet]],Prg!$A$7:$J$31,10,FALSE)*1)</f>
        <v>1</v>
      </c>
      <c r="AF725" t="str">
        <f>VLOOKUP(Table1[[#This Row],[sheet]],Prg!$A$7:$J$31,5,FALSE)</f>
        <v>MALI REP</v>
      </c>
      <c r="AG725">
        <f>ROW()</f>
        <v>725</v>
      </c>
    </row>
    <row r="726" spans="24:33" hidden="1" x14ac:dyDescent="0.25">
      <c r="X726">
        <v>4</v>
      </c>
      <c r="Y726" t="s">
        <v>785</v>
      </c>
      <c r="Z726" t="s">
        <v>786</v>
      </c>
      <c r="AA726" t="str">
        <f>IF(OR(VLOOKUP(Table1[[#This Row],[sheet]],Prg!$A$7:$F$31,6,FALSE)=Prg!$O$2,VLOOKUP(Table1[[#This Row],[sheet]],Prg!$A$7:$F$31,6,FALSE)=Prg!$O$3),"Yes","No")</f>
        <v>Yes</v>
      </c>
      <c r="AB726" t="s">
        <v>78</v>
      </c>
      <c r="AC726">
        <v>20</v>
      </c>
      <c r="AD726">
        <f ca="1">IF(ISERROR(VLOOKUP(Table1[[#This Row],[item]],INDIRECT("'"&amp;Table1[[#This Row],[sheet]]&amp;"'!$A$8:$T$42"),Table1[[#This Row],[r]],FALSE)),"",VLOOKUP(Table1[[#This Row],[item]],INDIRECT("'"&amp;Table1[[#This Row],[sheet]]&amp;"'!$A$8:$T$42"),Table1[[#This Row],[r]],FALSE))</f>
        <v>998272.29580869945</v>
      </c>
      <c r="AE726">
        <f>IF(VLOOKUP(Table1[[#This Row],[sheet]],Prg!$A$7:$J$31,10,FALSE)="","",VLOOKUP(Table1[[#This Row],[sheet]],Prg!$A$7:$J$31,10,FALSE)*1)</f>
        <v>1</v>
      </c>
      <c r="AF726" t="str">
        <f>VLOOKUP(Table1[[#This Row],[sheet]],Prg!$A$7:$J$31,5,FALSE)</f>
        <v>MALI REP</v>
      </c>
      <c r="AG726">
        <f>ROW()</f>
        <v>726</v>
      </c>
    </row>
    <row r="727" spans="24:33" hidden="1" x14ac:dyDescent="0.25">
      <c r="X727">
        <v>4</v>
      </c>
      <c r="Y727" t="s">
        <v>787</v>
      </c>
      <c r="Z727" t="s">
        <v>633</v>
      </c>
      <c r="AA727" t="str">
        <f>IF(OR(VLOOKUP(Table1[[#This Row],[sheet]],Prg!$A$7:$F$31,6,FALSE)=Prg!$O$2,VLOOKUP(Table1[[#This Row],[sheet]],Prg!$A$7:$F$31,6,FALSE)=Prg!$O$3),"Yes","No")</f>
        <v>Yes</v>
      </c>
      <c r="AB727" t="s">
        <v>78</v>
      </c>
      <c r="AC727">
        <v>20</v>
      </c>
      <c r="AD727">
        <f ca="1">IF(ISERROR(VLOOKUP(Table1[[#This Row],[item]],INDIRECT("'"&amp;Table1[[#This Row],[sheet]]&amp;"'!$A$8:$T$42"),Table1[[#This Row],[r]],FALSE)),"",VLOOKUP(Table1[[#This Row],[item]],INDIRECT("'"&amp;Table1[[#This Row],[sheet]]&amp;"'!$A$8:$T$42"),Table1[[#This Row],[r]],FALSE))</f>
        <v>0</v>
      </c>
      <c r="AE727">
        <f>IF(VLOOKUP(Table1[[#This Row],[sheet]],Prg!$A$7:$J$31,10,FALSE)="","",VLOOKUP(Table1[[#This Row],[sheet]],Prg!$A$7:$J$31,10,FALSE)*1)</f>
        <v>1</v>
      </c>
      <c r="AF727" t="str">
        <f>VLOOKUP(Table1[[#This Row],[sheet]],Prg!$A$7:$J$31,5,FALSE)</f>
        <v>MALI REP</v>
      </c>
      <c r="AG727">
        <f>ROW()</f>
        <v>727</v>
      </c>
    </row>
    <row r="728" spans="24:33" hidden="1" x14ac:dyDescent="0.25">
      <c r="X728">
        <v>5</v>
      </c>
      <c r="Y728" s="53" t="s">
        <v>753</v>
      </c>
      <c r="Z728" s="53" t="s">
        <v>162</v>
      </c>
      <c r="AA728" s="53" t="str">
        <f>IF(OR(VLOOKUP(Table1[[#This Row],[sheet]],Prg!$A$7:$F$31,6,FALSE)=Prg!$O$2,VLOOKUP(Table1[[#This Row],[sheet]],Prg!$A$7:$F$31,6,FALSE)=Prg!$O$3),"Yes","No")</f>
        <v>Yes</v>
      </c>
      <c r="AB728" s="53">
        <v>2022</v>
      </c>
      <c r="AC728">
        <v>15</v>
      </c>
      <c r="AD728">
        <f ca="1">IF(ISERROR(VLOOKUP(Table1[[#This Row],[item]],INDIRECT("'"&amp;Table1[[#This Row],[sheet]]&amp;"'!$A$8:$T$42"),Table1[[#This Row],[r]],FALSE)),"",VLOOKUP(Table1[[#This Row],[item]],INDIRECT("'"&amp;Table1[[#This Row],[sheet]]&amp;"'!$A$8:$T$42"),Table1[[#This Row],[r]],FALSE))</f>
        <v>647798.81999999995</v>
      </c>
      <c r="AE728">
        <f>IF(VLOOKUP(Table1[[#This Row],[sheet]],Prg!$A$7:$J$31,10,FALSE)="","",VLOOKUP(Table1[[#This Row],[sheet]],Prg!$A$7:$J$31,10,FALSE)*1)</f>
        <v>1</v>
      </c>
      <c r="AF728" t="str">
        <f>VLOOKUP(Table1[[#This Row],[sheet]],Prg!$A$7:$J$31,5,FALSE)</f>
        <v>NIGER REP</v>
      </c>
      <c r="AG728">
        <f>ROW()</f>
        <v>728</v>
      </c>
    </row>
    <row r="729" spans="24:33" hidden="1" x14ac:dyDescent="0.25">
      <c r="X729">
        <v>5</v>
      </c>
      <c r="Y729" t="s">
        <v>754</v>
      </c>
      <c r="Z729" t="s">
        <v>164</v>
      </c>
      <c r="AA729" t="str">
        <f>IF(OR(VLOOKUP(Table1[[#This Row],[sheet]],Prg!$A$7:$F$31,6,FALSE)=Prg!$O$2,VLOOKUP(Table1[[#This Row],[sheet]],Prg!$A$7:$F$31,6,FALSE)=Prg!$O$3),"Yes","No")</f>
        <v>Yes</v>
      </c>
      <c r="AB729">
        <v>2022</v>
      </c>
      <c r="AC729">
        <v>15</v>
      </c>
      <c r="AD729">
        <f ca="1">IF(ISERROR(VLOOKUP(Table1[[#This Row],[item]],INDIRECT("'"&amp;Table1[[#This Row],[sheet]]&amp;"'!$A$8:$T$42"),Table1[[#This Row],[r]],FALSE)),"",VLOOKUP(Table1[[#This Row],[item]],INDIRECT("'"&amp;Table1[[#This Row],[sheet]]&amp;"'!$A$8:$T$42"),Table1[[#This Row],[r]],FALSE))</f>
        <v>78224.38</v>
      </c>
      <c r="AE729">
        <f>IF(VLOOKUP(Table1[[#This Row],[sheet]],Prg!$A$7:$J$31,10,FALSE)="","",VLOOKUP(Table1[[#This Row],[sheet]],Prg!$A$7:$J$31,10,FALSE)*1)</f>
        <v>1</v>
      </c>
      <c r="AF729" t="str">
        <f>VLOOKUP(Table1[[#This Row],[sheet]],Prg!$A$7:$J$31,5,FALSE)</f>
        <v>NIGER REP</v>
      </c>
      <c r="AG729">
        <f>ROW()</f>
        <v>729</v>
      </c>
    </row>
    <row r="730" spans="24:33" hidden="1" x14ac:dyDescent="0.25">
      <c r="X730">
        <v>5</v>
      </c>
      <c r="Y730" t="s">
        <v>755</v>
      </c>
      <c r="Z730" t="s">
        <v>166</v>
      </c>
      <c r="AA730" t="str">
        <f>IF(OR(VLOOKUP(Table1[[#This Row],[sheet]],Prg!$A$7:$F$31,6,FALSE)=Prg!$O$2,VLOOKUP(Table1[[#This Row],[sheet]],Prg!$A$7:$F$31,6,FALSE)=Prg!$O$3),"Yes","No")</f>
        <v>Yes</v>
      </c>
      <c r="AB730">
        <v>2022</v>
      </c>
      <c r="AC730">
        <v>15</v>
      </c>
      <c r="AD730">
        <f ca="1">IF(ISERROR(VLOOKUP(Table1[[#This Row],[item]],INDIRECT("'"&amp;Table1[[#This Row],[sheet]]&amp;"'!$A$8:$T$42"),Table1[[#This Row],[r]],FALSE)),"",VLOOKUP(Table1[[#This Row],[item]],INDIRECT("'"&amp;Table1[[#This Row],[sheet]]&amp;"'!$A$8:$T$42"),Table1[[#This Row],[r]],FALSE))</f>
        <v>448133.81</v>
      </c>
      <c r="AE730">
        <f>IF(VLOOKUP(Table1[[#This Row],[sheet]],Prg!$A$7:$J$31,10,FALSE)="","",VLOOKUP(Table1[[#This Row],[sheet]],Prg!$A$7:$J$31,10,FALSE)*1)</f>
        <v>1</v>
      </c>
      <c r="AF730" t="str">
        <f>VLOOKUP(Table1[[#This Row],[sheet]],Prg!$A$7:$J$31,5,FALSE)</f>
        <v>NIGER REP</v>
      </c>
      <c r="AG730">
        <f>ROW()</f>
        <v>730</v>
      </c>
    </row>
    <row r="731" spans="24:33" hidden="1" x14ac:dyDescent="0.25">
      <c r="X731">
        <v>5</v>
      </c>
      <c r="Y731" t="s">
        <v>756</v>
      </c>
      <c r="Z731" t="s">
        <v>757</v>
      </c>
      <c r="AA731" t="str">
        <f>IF(OR(VLOOKUP(Table1[[#This Row],[sheet]],Prg!$A$7:$F$31,6,FALSE)=Prg!$O$2,VLOOKUP(Table1[[#This Row],[sheet]],Prg!$A$7:$F$31,6,FALSE)=Prg!$O$3),"Yes","No")</f>
        <v>Yes</v>
      </c>
      <c r="AB731">
        <v>2022</v>
      </c>
      <c r="AC731">
        <v>15</v>
      </c>
      <c r="AD731">
        <f ca="1">IF(ISERROR(VLOOKUP(Table1[[#This Row],[item]],INDIRECT("'"&amp;Table1[[#This Row],[sheet]]&amp;"'!$A$8:$T$42"),Table1[[#This Row],[r]],FALSE)),"",VLOOKUP(Table1[[#This Row],[item]],INDIRECT("'"&amp;Table1[[#This Row],[sheet]]&amp;"'!$A$8:$T$42"),Table1[[#This Row],[r]],FALSE))</f>
        <v>121440.63</v>
      </c>
      <c r="AE731">
        <f>IF(VLOOKUP(Table1[[#This Row],[sheet]],Prg!$A$7:$J$31,10,FALSE)="","",VLOOKUP(Table1[[#This Row],[sheet]],Prg!$A$7:$J$31,10,FALSE)*1)</f>
        <v>1</v>
      </c>
      <c r="AF731" t="str">
        <f>VLOOKUP(Table1[[#This Row],[sheet]],Prg!$A$7:$J$31,5,FALSE)</f>
        <v>NIGER REP</v>
      </c>
      <c r="AG731">
        <f>ROW()</f>
        <v>731</v>
      </c>
    </row>
    <row r="732" spans="24:33" hidden="1" x14ac:dyDescent="0.25">
      <c r="X732">
        <v>5</v>
      </c>
      <c r="Y732" t="s">
        <v>758</v>
      </c>
      <c r="Z732" t="s">
        <v>170</v>
      </c>
      <c r="AA732" t="str">
        <f>IF(OR(VLOOKUP(Table1[[#This Row],[sheet]],Prg!$A$7:$F$31,6,FALSE)=Prg!$O$2,VLOOKUP(Table1[[#This Row],[sheet]],Prg!$A$7:$F$31,6,FALSE)=Prg!$O$3),"Yes","No")</f>
        <v>Yes</v>
      </c>
      <c r="AB732">
        <v>2022</v>
      </c>
      <c r="AC732">
        <v>15</v>
      </c>
      <c r="AD732">
        <f ca="1">IF(ISERROR(VLOOKUP(Table1[[#This Row],[item]],INDIRECT("'"&amp;Table1[[#This Row],[sheet]]&amp;"'!$A$8:$T$42"),Table1[[#This Row],[r]],FALSE)),"",VLOOKUP(Table1[[#This Row],[item]],INDIRECT("'"&amp;Table1[[#This Row],[sheet]]&amp;"'!$A$8:$T$42"),Table1[[#This Row],[r]],FALSE))</f>
        <v>10671.43</v>
      </c>
      <c r="AE732">
        <f>IF(VLOOKUP(Table1[[#This Row],[sheet]],Prg!$A$7:$J$31,10,FALSE)="","",VLOOKUP(Table1[[#This Row],[sheet]],Prg!$A$7:$J$31,10,FALSE)*1)</f>
        <v>1</v>
      </c>
      <c r="AF732" t="str">
        <f>VLOOKUP(Table1[[#This Row],[sheet]],Prg!$A$7:$J$31,5,FALSE)</f>
        <v>NIGER REP</v>
      </c>
      <c r="AG732">
        <f>ROW()</f>
        <v>732</v>
      </c>
    </row>
    <row r="733" spans="24:33" hidden="1" x14ac:dyDescent="0.25">
      <c r="X733">
        <v>5</v>
      </c>
      <c r="Y733" t="s">
        <v>759</v>
      </c>
      <c r="Z733" t="s">
        <v>172</v>
      </c>
      <c r="AA733" t="str">
        <f>IF(OR(VLOOKUP(Table1[[#This Row],[sheet]],Prg!$A$7:$F$31,6,FALSE)=Prg!$O$2,VLOOKUP(Table1[[#This Row],[sheet]],Prg!$A$7:$F$31,6,FALSE)=Prg!$O$3),"Yes","No")</f>
        <v>Yes</v>
      </c>
      <c r="AB733">
        <v>2022</v>
      </c>
      <c r="AC733">
        <v>15</v>
      </c>
      <c r="AD733">
        <f ca="1">IF(ISERROR(VLOOKUP(Table1[[#This Row],[item]],INDIRECT("'"&amp;Table1[[#This Row],[sheet]]&amp;"'!$A$8:$T$42"),Table1[[#This Row],[r]],FALSE)),"",VLOOKUP(Table1[[#This Row],[item]],INDIRECT("'"&amp;Table1[[#This Row],[sheet]]&amp;"'!$A$8:$T$42"),Table1[[#This Row],[r]],FALSE))</f>
        <v>0</v>
      </c>
      <c r="AE733">
        <f>IF(VLOOKUP(Table1[[#This Row],[sheet]],Prg!$A$7:$J$31,10,FALSE)="","",VLOOKUP(Table1[[#This Row],[sheet]],Prg!$A$7:$J$31,10,FALSE)*1)</f>
        <v>1</v>
      </c>
      <c r="AF733" t="str">
        <f>VLOOKUP(Table1[[#This Row],[sheet]],Prg!$A$7:$J$31,5,FALSE)</f>
        <v>NIGER REP</v>
      </c>
      <c r="AG733">
        <f>ROW()</f>
        <v>733</v>
      </c>
    </row>
    <row r="734" spans="24:33" hidden="1" x14ac:dyDescent="0.25">
      <c r="X734">
        <v>5</v>
      </c>
      <c r="Y734" t="s">
        <v>760</v>
      </c>
      <c r="Z734" t="s">
        <v>174</v>
      </c>
      <c r="AA734" t="str">
        <f>IF(OR(VLOOKUP(Table1[[#This Row],[sheet]],Prg!$A$7:$F$31,6,FALSE)=Prg!$O$2,VLOOKUP(Table1[[#This Row],[sheet]],Prg!$A$7:$F$31,6,FALSE)=Prg!$O$3),"Yes","No")</f>
        <v>Yes</v>
      </c>
      <c r="AB734">
        <v>2022</v>
      </c>
      <c r="AC734">
        <v>15</v>
      </c>
      <c r="AD734">
        <f ca="1">IF(ISERROR(VLOOKUP(Table1[[#This Row],[item]],INDIRECT("'"&amp;Table1[[#This Row],[sheet]]&amp;"'!$A$8:$T$42"),Table1[[#This Row],[r]],FALSE)),"",VLOOKUP(Table1[[#This Row],[item]],INDIRECT("'"&amp;Table1[[#This Row],[sheet]]&amp;"'!$A$8:$T$42"),Table1[[#This Row],[r]],FALSE))</f>
        <v>10671.43</v>
      </c>
      <c r="AE734">
        <f>IF(VLOOKUP(Table1[[#This Row],[sheet]],Prg!$A$7:$J$31,10,FALSE)="","",VLOOKUP(Table1[[#This Row],[sheet]],Prg!$A$7:$J$31,10,FALSE)*1)</f>
        <v>1</v>
      </c>
      <c r="AF734" t="str">
        <f>VLOOKUP(Table1[[#This Row],[sheet]],Prg!$A$7:$J$31,5,FALSE)</f>
        <v>NIGER REP</v>
      </c>
      <c r="AG734">
        <f>ROW()</f>
        <v>734</v>
      </c>
    </row>
    <row r="735" spans="24:33" hidden="1" x14ac:dyDescent="0.25">
      <c r="X735">
        <v>5</v>
      </c>
      <c r="Y735" t="s">
        <v>761</v>
      </c>
      <c r="Z735" t="s">
        <v>762</v>
      </c>
      <c r="AA735" t="str">
        <f>IF(OR(VLOOKUP(Table1[[#This Row],[sheet]],Prg!$A$7:$F$31,6,FALSE)=Prg!$O$2,VLOOKUP(Table1[[#This Row],[sheet]],Prg!$A$7:$F$31,6,FALSE)=Prg!$O$3),"Yes","No")</f>
        <v>Yes</v>
      </c>
      <c r="AB735">
        <v>2022</v>
      </c>
      <c r="AC735">
        <v>15</v>
      </c>
      <c r="AD735">
        <f ca="1">IF(ISERROR(VLOOKUP(Table1[[#This Row],[item]],INDIRECT("'"&amp;Table1[[#This Row],[sheet]]&amp;"'!$A$8:$T$42"),Table1[[#This Row],[r]],FALSE)),"",VLOOKUP(Table1[[#This Row],[item]],INDIRECT("'"&amp;Table1[[#This Row],[sheet]]&amp;"'!$A$8:$T$42"),Table1[[#This Row],[r]],FALSE))</f>
        <v>0</v>
      </c>
      <c r="AE735">
        <f>IF(VLOOKUP(Table1[[#This Row],[sheet]],Prg!$A$7:$J$31,10,FALSE)="","",VLOOKUP(Table1[[#This Row],[sheet]],Prg!$A$7:$J$31,10,FALSE)*1)</f>
        <v>1</v>
      </c>
      <c r="AF735" t="str">
        <f>VLOOKUP(Table1[[#This Row],[sheet]],Prg!$A$7:$J$31,5,FALSE)</f>
        <v>NIGER REP</v>
      </c>
      <c r="AG735">
        <f>ROW()</f>
        <v>735</v>
      </c>
    </row>
    <row r="736" spans="24:33" hidden="1" x14ac:dyDescent="0.25">
      <c r="X736">
        <v>5</v>
      </c>
      <c r="Y736" t="s">
        <v>763</v>
      </c>
      <c r="Z736" t="s">
        <v>178</v>
      </c>
      <c r="AA736" t="str">
        <f>IF(OR(VLOOKUP(Table1[[#This Row],[sheet]],Prg!$A$7:$F$31,6,FALSE)=Prg!$O$2,VLOOKUP(Table1[[#This Row],[sheet]],Prg!$A$7:$F$31,6,FALSE)=Prg!$O$3),"Yes","No")</f>
        <v>Yes</v>
      </c>
      <c r="AB736">
        <v>2022</v>
      </c>
      <c r="AC736">
        <v>15</v>
      </c>
      <c r="AD736">
        <f ca="1">IF(ISERROR(VLOOKUP(Table1[[#This Row],[item]],INDIRECT("'"&amp;Table1[[#This Row],[sheet]]&amp;"'!$A$8:$T$42"),Table1[[#This Row],[r]],FALSE)),"",VLOOKUP(Table1[[#This Row],[item]],INDIRECT("'"&amp;Table1[[#This Row],[sheet]]&amp;"'!$A$8:$T$42"),Table1[[#This Row],[r]],FALSE))</f>
        <v>248569.22</v>
      </c>
      <c r="AE736">
        <f>IF(VLOOKUP(Table1[[#This Row],[sheet]],Prg!$A$7:$J$31,10,FALSE)="","",VLOOKUP(Table1[[#This Row],[sheet]],Prg!$A$7:$J$31,10,FALSE)*1)</f>
        <v>1</v>
      </c>
      <c r="AF736" t="str">
        <f>VLOOKUP(Table1[[#This Row],[sheet]],Prg!$A$7:$J$31,5,FALSE)</f>
        <v>NIGER REP</v>
      </c>
      <c r="AG736">
        <f>ROW()</f>
        <v>736</v>
      </c>
    </row>
    <row r="737" spans="24:33" hidden="1" x14ac:dyDescent="0.25">
      <c r="X737">
        <v>5</v>
      </c>
      <c r="Y737" t="s">
        <v>764</v>
      </c>
      <c r="Z737" t="s">
        <v>109</v>
      </c>
      <c r="AA737" t="str">
        <f>IF(OR(VLOOKUP(Table1[[#This Row],[sheet]],Prg!$A$7:$F$31,6,FALSE)=Prg!$O$2,VLOOKUP(Table1[[#This Row],[sheet]],Prg!$A$7:$F$31,6,FALSE)=Prg!$O$3),"Yes","No")</f>
        <v>Yes</v>
      </c>
      <c r="AB737">
        <v>2022</v>
      </c>
      <c r="AC737">
        <v>15</v>
      </c>
      <c r="AD737">
        <f ca="1">IF(ISERROR(VLOOKUP(Table1[[#This Row],[item]],INDIRECT("'"&amp;Table1[[#This Row],[sheet]]&amp;"'!$A$8:$T$42"),Table1[[#This Row],[r]],FALSE)),"",VLOOKUP(Table1[[#This Row],[item]],INDIRECT("'"&amp;Table1[[#This Row],[sheet]]&amp;"'!$A$8:$T$42"),Table1[[#This Row],[r]],FALSE))</f>
        <v>48707.46</v>
      </c>
      <c r="AE737">
        <f>IF(VLOOKUP(Table1[[#This Row],[sheet]],Prg!$A$7:$J$31,10,FALSE)="","",VLOOKUP(Table1[[#This Row],[sheet]],Prg!$A$7:$J$31,10,FALSE)*1)</f>
        <v>1</v>
      </c>
      <c r="AF737" t="str">
        <f>VLOOKUP(Table1[[#This Row],[sheet]],Prg!$A$7:$J$31,5,FALSE)</f>
        <v>NIGER REP</v>
      </c>
      <c r="AG737">
        <f>ROW()</f>
        <v>737</v>
      </c>
    </row>
    <row r="738" spans="24:33" hidden="1" x14ac:dyDescent="0.25">
      <c r="X738">
        <v>5</v>
      </c>
      <c r="Y738" t="s">
        <v>765</v>
      </c>
      <c r="Z738" t="s">
        <v>117</v>
      </c>
      <c r="AA738" t="str">
        <f>IF(OR(VLOOKUP(Table1[[#This Row],[sheet]],Prg!$A$7:$F$31,6,FALSE)=Prg!$O$2,VLOOKUP(Table1[[#This Row],[sheet]],Prg!$A$7:$F$31,6,FALSE)=Prg!$O$3),"Yes","No")</f>
        <v>Yes</v>
      </c>
      <c r="AB738">
        <v>2022</v>
      </c>
      <c r="AC738">
        <v>15</v>
      </c>
      <c r="AD738">
        <f ca="1">IF(ISERROR(VLOOKUP(Table1[[#This Row],[item]],INDIRECT("'"&amp;Table1[[#This Row],[sheet]]&amp;"'!$A$8:$T$42"),Table1[[#This Row],[r]],FALSE)),"",VLOOKUP(Table1[[#This Row],[item]],INDIRECT("'"&amp;Table1[[#This Row],[sheet]]&amp;"'!$A$8:$T$42"),Table1[[#This Row],[r]],FALSE))</f>
        <v>38722.050000000003</v>
      </c>
      <c r="AE738">
        <f>IF(VLOOKUP(Table1[[#This Row],[sheet]],Prg!$A$7:$J$31,10,FALSE)="","",VLOOKUP(Table1[[#This Row],[sheet]],Prg!$A$7:$J$31,10,FALSE)*1)</f>
        <v>1</v>
      </c>
      <c r="AF738" t="str">
        <f>VLOOKUP(Table1[[#This Row],[sheet]],Prg!$A$7:$J$31,5,FALSE)</f>
        <v>NIGER REP</v>
      </c>
      <c r="AG738">
        <f>ROW()</f>
        <v>738</v>
      </c>
    </row>
    <row r="739" spans="24:33" hidden="1" x14ac:dyDescent="0.25">
      <c r="X739">
        <v>5</v>
      </c>
      <c r="Y739" t="s">
        <v>766</v>
      </c>
      <c r="Z739" t="s">
        <v>767</v>
      </c>
      <c r="AA739" t="str">
        <f>IF(OR(VLOOKUP(Table1[[#This Row],[sheet]],Prg!$A$7:$F$31,6,FALSE)=Prg!$O$2,VLOOKUP(Table1[[#This Row],[sheet]],Prg!$A$7:$F$31,6,FALSE)=Prg!$O$3),"Yes","No")</f>
        <v>Yes</v>
      </c>
      <c r="AB739">
        <v>2022</v>
      </c>
      <c r="AC739">
        <v>15</v>
      </c>
      <c r="AD739">
        <f ca="1">IF(ISERROR(VLOOKUP(Table1[[#This Row],[item]],INDIRECT("'"&amp;Table1[[#This Row],[sheet]]&amp;"'!$A$8:$T$42"),Table1[[#This Row],[r]],FALSE)),"",VLOOKUP(Table1[[#This Row],[item]],INDIRECT("'"&amp;Table1[[#This Row],[sheet]]&amp;"'!$A$8:$T$42"),Table1[[#This Row],[r]],FALSE))</f>
        <v>161139.71</v>
      </c>
      <c r="AE739">
        <f>IF(VLOOKUP(Table1[[#This Row],[sheet]],Prg!$A$7:$J$31,10,FALSE)="","",VLOOKUP(Table1[[#This Row],[sheet]],Prg!$A$7:$J$31,10,FALSE)*1)</f>
        <v>1</v>
      </c>
      <c r="AF739" t="str">
        <f>VLOOKUP(Table1[[#This Row],[sheet]],Prg!$A$7:$J$31,5,FALSE)</f>
        <v>NIGER REP</v>
      </c>
      <c r="AG739">
        <f>ROW()</f>
        <v>739</v>
      </c>
    </row>
    <row r="740" spans="24:33" hidden="1" x14ac:dyDescent="0.25">
      <c r="X740">
        <v>5</v>
      </c>
      <c r="Y740" t="s">
        <v>768</v>
      </c>
      <c r="Z740" t="s">
        <v>182</v>
      </c>
      <c r="AA740" t="str">
        <f>IF(OR(VLOOKUP(Table1[[#This Row],[sheet]],Prg!$A$7:$F$31,6,FALSE)=Prg!$O$2,VLOOKUP(Table1[[#This Row],[sheet]],Prg!$A$7:$F$31,6,FALSE)=Prg!$O$3),"Yes","No")</f>
        <v>Yes</v>
      </c>
      <c r="AB740">
        <v>2022</v>
      </c>
      <c r="AC740">
        <v>15</v>
      </c>
      <c r="AD740">
        <f ca="1">IF(ISERROR(VLOOKUP(Table1[[#This Row],[item]],INDIRECT("'"&amp;Table1[[#This Row],[sheet]]&amp;"'!$A$8:$T$42"),Table1[[#This Row],[r]],FALSE)),"",VLOOKUP(Table1[[#This Row],[item]],INDIRECT("'"&amp;Table1[[#This Row],[sheet]]&amp;"'!$A$8:$T$42"),Table1[[#This Row],[r]],FALSE))</f>
        <v>4000</v>
      </c>
      <c r="AE740">
        <f>IF(VLOOKUP(Table1[[#This Row],[sheet]],Prg!$A$7:$J$31,10,FALSE)="","",VLOOKUP(Table1[[#This Row],[sheet]],Prg!$A$7:$J$31,10,FALSE)*1)</f>
        <v>1</v>
      </c>
      <c r="AF740" t="str">
        <f>VLOOKUP(Table1[[#This Row],[sheet]],Prg!$A$7:$J$31,5,FALSE)</f>
        <v>NIGER REP</v>
      </c>
      <c r="AG740">
        <f>ROW()</f>
        <v>740</v>
      </c>
    </row>
    <row r="741" spans="24:33" hidden="1" x14ac:dyDescent="0.25">
      <c r="X741">
        <v>5</v>
      </c>
      <c r="Y741" t="s">
        <v>769</v>
      </c>
      <c r="Z741" t="s">
        <v>184</v>
      </c>
      <c r="AA741" t="str">
        <f>IF(OR(VLOOKUP(Table1[[#This Row],[sheet]],Prg!$A$7:$F$31,6,FALSE)=Prg!$O$2,VLOOKUP(Table1[[#This Row],[sheet]],Prg!$A$7:$F$31,6,FALSE)=Prg!$O$3),"Yes","No")</f>
        <v>Yes</v>
      </c>
      <c r="AB741">
        <v>2022</v>
      </c>
      <c r="AC741">
        <v>15</v>
      </c>
      <c r="AD741">
        <f ca="1">IF(ISERROR(VLOOKUP(Table1[[#This Row],[item]],INDIRECT("'"&amp;Table1[[#This Row],[sheet]]&amp;"'!$A$8:$T$42"),Table1[[#This Row],[r]],FALSE)),"",VLOOKUP(Table1[[#This Row],[item]],INDIRECT("'"&amp;Table1[[#This Row],[sheet]]&amp;"'!$A$8:$T$42"),Table1[[#This Row],[r]],FALSE))</f>
        <v>0</v>
      </c>
      <c r="AE741">
        <f>IF(VLOOKUP(Table1[[#This Row],[sheet]],Prg!$A$7:$J$31,10,FALSE)="","",VLOOKUP(Table1[[#This Row],[sheet]],Prg!$A$7:$J$31,10,FALSE)*1)</f>
        <v>1</v>
      </c>
      <c r="AF741" t="str">
        <f>VLOOKUP(Table1[[#This Row],[sheet]],Prg!$A$7:$J$31,5,FALSE)</f>
        <v>NIGER REP</v>
      </c>
      <c r="AG741">
        <f>ROW()</f>
        <v>741</v>
      </c>
    </row>
    <row r="742" spans="24:33" hidden="1" x14ac:dyDescent="0.25">
      <c r="X742">
        <v>5</v>
      </c>
      <c r="Y742" t="s">
        <v>770</v>
      </c>
      <c r="Z742" t="s">
        <v>186</v>
      </c>
      <c r="AA742" t="str">
        <f>IF(OR(VLOOKUP(Table1[[#This Row],[sheet]],Prg!$A$7:$F$31,6,FALSE)=Prg!$O$2,VLOOKUP(Table1[[#This Row],[sheet]],Prg!$A$7:$F$31,6,FALSE)=Prg!$O$3),"Yes","No")</f>
        <v>Yes</v>
      </c>
      <c r="AB742">
        <v>2022</v>
      </c>
      <c r="AC742">
        <v>15</v>
      </c>
      <c r="AD742">
        <f ca="1">IF(ISERROR(VLOOKUP(Table1[[#This Row],[item]],INDIRECT("'"&amp;Table1[[#This Row],[sheet]]&amp;"'!$A$8:$T$42"),Table1[[#This Row],[r]],FALSE)),"",VLOOKUP(Table1[[#This Row],[item]],INDIRECT("'"&amp;Table1[[#This Row],[sheet]]&amp;"'!$A$8:$T$42"),Table1[[#This Row],[r]],FALSE))</f>
        <v>4000</v>
      </c>
      <c r="AE742">
        <f>IF(VLOOKUP(Table1[[#This Row],[sheet]],Prg!$A$7:$J$31,10,FALSE)="","",VLOOKUP(Table1[[#This Row],[sheet]],Prg!$A$7:$J$31,10,FALSE)*1)</f>
        <v>1</v>
      </c>
      <c r="AF742" t="str">
        <f>VLOOKUP(Table1[[#This Row],[sheet]],Prg!$A$7:$J$31,5,FALSE)</f>
        <v>NIGER REP</v>
      </c>
      <c r="AG742">
        <f>ROW()</f>
        <v>742</v>
      </c>
    </row>
    <row r="743" spans="24:33" hidden="1" x14ac:dyDescent="0.25">
      <c r="X743">
        <v>5</v>
      </c>
      <c r="Y743" t="s">
        <v>771</v>
      </c>
      <c r="Z743" t="s">
        <v>772</v>
      </c>
      <c r="AA743" t="str">
        <f>IF(OR(VLOOKUP(Table1[[#This Row],[sheet]],Prg!$A$7:$F$31,6,FALSE)=Prg!$O$2,VLOOKUP(Table1[[#This Row],[sheet]],Prg!$A$7:$F$31,6,FALSE)=Prg!$O$3),"Yes","No")</f>
        <v>Yes</v>
      </c>
      <c r="AB743">
        <v>2022</v>
      </c>
      <c r="AC743">
        <v>15</v>
      </c>
      <c r="AD743">
        <f ca="1">IF(ISERROR(VLOOKUP(Table1[[#This Row],[item]],INDIRECT("'"&amp;Table1[[#This Row],[sheet]]&amp;"'!$A$8:$T$42"),Table1[[#This Row],[r]],FALSE)),"",VLOOKUP(Table1[[#This Row],[item]],INDIRECT("'"&amp;Table1[[#This Row],[sheet]]&amp;"'!$A$8:$T$42"),Table1[[#This Row],[r]],FALSE))</f>
        <v>0</v>
      </c>
      <c r="AE743">
        <f>IF(VLOOKUP(Table1[[#This Row],[sheet]],Prg!$A$7:$J$31,10,FALSE)="","",VLOOKUP(Table1[[#This Row],[sheet]],Prg!$A$7:$J$31,10,FALSE)*1)</f>
        <v>1</v>
      </c>
      <c r="AF743" t="str">
        <f>VLOOKUP(Table1[[#This Row],[sheet]],Prg!$A$7:$J$31,5,FALSE)</f>
        <v>NIGER REP</v>
      </c>
      <c r="AG743">
        <f>ROW()</f>
        <v>743</v>
      </c>
    </row>
    <row r="744" spans="24:33" hidden="1" x14ac:dyDescent="0.25">
      <c r="X744">
        <v>5</v>
      </c>
      <c r="Y744" t="s">
        <v>773</v>
      </c>
      <c r="Z744" t="s">
        <v>190</v>
      </c>
      <c r="AA744" t="str">
        <f>IF(OR(VLOOKUP(Table1[[#This Row],[sheet]],Prg!$A$7:$F$31,6,FALSE)=Prg!$O$2,VLOOKUP(Table1[[#This Row],[sheet]],Prg!$A$7:$F$31,6,FALSE)=Prg!$O$3),"Yes","No")</f>
        <v>Yes</v>
      </c>
      <c r="AB744">
        <v>2022</v>
      </c>
      <c r="AC744">
        <v>15</v>
      </c>
      <c r="AD744">
        <f ca="1">IF(ISERROR(VLOOKUP(Table1[[#This Row],[item]],INDIRECT("'"&amp;Table1[[#This Row],[sheet]]&amp;"'!$A$8:$T$42"),Table1[[#This Row],[r]],FALSE)),"",VLOOKUP(Table1[[#This Row],[item]],INDIRECT("'"&amp;Table1[[#This Row],[sheet]]&amp;"'!$A$8:$T$42"),Table1[[#This Row],[r]],FALSE))</f>
        <v>911039.47</v>
      </c>
      <c r="AE744">
        <f>IF(VLOOKUP(Table1[[#This Row],[sheet]],Prg!$A$7:$J$31,10,FALSE)="","",VLOOKUP(Table1[[#This Row],[sheet]],Prg!$A$7:$J$31,10,FALSE)*1)</f>
        <v>1</v>
      </c>
      <c r="AF744" t="str">
        <f>VLOOKUP(Table1[[#This Row],[sheet]],Prg!$A$7:$J$31,5,FALSE)</f>
        <v>NIGER REP</v>
      </c>
      <c r="AG744">
        <f>ROW()</f>
        <v>744</v>
      </c>
    </row>
    <row r="745" spans="24:33" hidden="1" x14ac:dyDescent="0.25">
      <c r="X745">
        <v>5</v>
      </c>
      <c r="Y745" t="s">
        <v>709</v>
      </c>
      <c r="Z745" t="s">
        <v>192</v>
      </c>
      <c r="AA745" t="str">
        <f>IF(OR(VLOOKUP(Table1[[#This Row],[sheet]],Prg!$A$7:$F$31,6,FALSE)=Prg!$O$2,VLOOKUP(Table1[[#This Row],[sheet]],Prg!$A$7:$F$31,6,FALSE)=Prg!$O$3),"Yes","No")</f>
        <v>Yes</v>
      </c>
      <c r="AB745">
        <v>2022</v>
      </c>
      <c r="AC745">
        <v>15</v>
      </c>
      <c r="AD745">
        <f ca="1">IF(ISERROR(VLOOKUP(Table1[[#This Row],[item]],INDIRECT("'"&amp;Table1[[#This Row],[sheet]]&amp;"'!$A$8:$T$42"),Table1[[#This Row],[r]],FALSE)),"",VLOOKUP(Table1[[#This Row],[item]],INDIRECT("'"&amp;Table1[[#This Row],[sheet]]&amp;"'!$A$8:$T$42"),Table1[[#This Row],[r]],FALSE))</f>
        <v>126931.84</v>
      </c>
      <c r="AE745">
        <f>IF(VLOOKUP(Table1[[#This Row],[sheet]],Prg!$A$7:$J$31,10,FALSE)="","",VLOOKUP(Table1[[#This Row],[sheet]],Prg!$A$7:$J$31,10,FALSE)*1)</f>
        <v>1</v>
      </c>
      <c r="AF745" t="str">
        <f>VLOOKUP(Table1[[#This Row],[sheet]],Prg!$A$7:$J$31,5,FALSE)</f>
        <v>NIGER REP</v>
      </c>
      <c r="AG745">
        <f>ROW()</f>
        <v>745</v>
      </c>
    </row>
    <row r="746" spans="24:33" hidden="1" x14ac:dyDescent="0.25">
      <c r="X746">
        <v>5</v>
      </c>
      <c r="Y746" t="s">
        <v>774</v>
      </c>
      <c r="Z746" t="s">
        <v>194</v>
      </c>
      <c r="AA746" t="str">
        <f>IF(OR(VLOOKUP(Table1[[#This Row],[sheet]],Prg!$A$7:$F$31,6,FALSE)=Prg!$O$2,VLOOKUP(Table1[[#This Row],[sheet]],Prg!$A$7:$F$31,6,FALSE)=Prg!$O$3),"Yes","No")</f>
        <v>Yes</v>
      </c>
      <c r="AB746">
        <v>2022</v>
      </c>
      <c r="AC746">
        <v>15</v>
      </c>
      <c r="AD746">
        <f ca="1">IF(ISERROR(VLOOKUP(Table1[[#This Row],[item]],INDIRECT("'"&amp;Table1[[#This Row],[sheet]]&amp;"'!$A$8:$T$42"),Table1[[#This Row],[r]],FALSE)),"",VLOOKUP(Table1[[#This Row],[item]],INDIRECT("'"&amp;Table1[[#This Row],[sheet]]&amp;"'!$A$8:$T$42"),Table1[[#This Row],[r]],FALSE))</f>
        <v>91487.44</v>
      </c>
      <c r="AE746">
        <f>IF(VLOOKUP(Table1[[#This Row],[sheet]],Prg!$A$7:$J$31,10,FALSE)="","",VLOOKUP(Table1[[#This Row],[sheet]],Prg!$A$7:$J$31,10,FALSE)*1)</f>
        <v>1</v>
      </c>
      <c r="AF746" t="str">
        <f>VLOOKUP(Table1[[#This Row],[sheet]],Prg!$A$7:$J$31,5,FALSE)</f>
        <v>NIGER REP</v>
      </c>
      <c r="AG746">
        <f>ROW()</f>
        <v>746</v>
      </c>
    </row>
    <row r="747" spans="24:33" hidden="1" x14ac:dyDescent="0.25">
      <c r="X747">
        <v>5</v>
      </c>
      <c r="Y747" t="s">
        <v>775</v>
      </c>
      <c r="Z747" t="s">
        <v>196</v>
      </c>
      <c r="AA747" t="str">
        <f>IF(OR(VLOOKUP(Table1[[#This Row],[sheet]],Prg!$A$7:$F$31,6,FALSE)=Prg!$O$2,VLOOKUP(Table1[[#This Row],[sheet]],Prg!$A$7:$F$31,6,FALSE)=Prg!$O$3),"Yes","No")</f>
        <v>Yes</v>
      </c>
      <c r="AB747">
        <v>2022</v>
      </c>
      <c r="AC747">
        <v>15</v>
      </c>
      <c r="AD747">
        <f ca="1">IF(ISERROR(VLOOKUP(Table1[[#This Row],[item]],INDIRECT("'"&amp;Table1[[#This Row],[sheet]]&amp;"'!$A$8:$T$42"),Table1[[#This Row],[r]],FALSE)),"",VLOOKUP(Table1[[#This Row],[item]],INDIRECT("'"&amp;Table1[[#This Row],[sheet]]&amp;"'!$A$8:$T$42"),Table1[[#This Row],[r]],FALSE))</f>
        <v>35444.400000000001</v>
      </c>
      <c r="AE747">
        <f>IF(VLOOKUP(Table1[[#This Row],[sheet]],Prg!$A$7:$J$31,10,FALSE)="","",VLOOKUP(Table1[[#This Row],[sheet]],Prg!$A$7:$J$31,10,FALSE)*1)</f>
        <v>1</v>
      </c>
      <c r="AF747" t="str">
        <f>VLOOKUP(Table1[[#This Row],[sheet]],Prg!$A$7:$J$31,5,FALSE)</f>
        <v>NIGER REP</v>
      </c>
      <c r="AG747">
        <f>ROW()</f>
        <v>747</v>
      </c>
    </row>
    <row r="748" spans="24:33" hidden="1" x14ac:dyDescent="0.25">
      <c r="X748">
        <v>5</v>
      </c>
      <c r="Y748" t="s">
        <v>776</v>
      </c>
      <c r="Z748" t="s">
        <v>605</v>
      </c>
      <c r="AA748" t="str">
        <f>IF(OR(VLOOKUP(Table1[[#This Row],[sheet]],Prg!$A$7:$F$31,6,FALSE)=Prg!$O$2,VLOOKUP(Table1[[#This Row],[sheet]],Prg!$A$7:$F$31,6,FALSE)=Prg!$O$3),"Yes","No")</f>
        <v>Yes</v>
      </c>
      <c r="AB748">
        <v>2022</v>
      </c>
      <c r="AC748">
        <v>15</v>
      </c>
      <c r="AD748">
        <f ca="1">IF(ISERROR(VLOOKUP(Table1[[#This Row],[item]],INDIRECT("'"&amp;Table1[[#This Row],[sheet]]&amp;"'!$A$8:$T$42"),Table1[[#This Row],[r]],FALSE)),"",VLOOKUP(Table1[[#This Row],[item]],INDIRECT("'"&amp;Table1[[#This Row],[sheet]]&amp;"'!$A$8:$T$42"),Table1[[#This Row],[r]],FALSE))</f>
        <v>0</v>
      </c>
      <c r="AE748">
        <f>IF(VLOOKUP(Table1[[#This Row],[sheet]],Prg!$A$7:$J$31,10,FALSE)="","",VLOOKUP(Table1[[#This Row],[sheet]],Prg!$A$7:$J$31,10,FALSE)*1)</f>
        <v>1</v>
      </c>
      <c r="AF748" t="str">
        <f>VLOOKUP(Table1[[#This Row],[sheet]],Prg!$A$7:$J$31,5,FALSE)</f>
        <v>NIGER REP</v>
      </c>
      <c r="AG748">
        <f>ROW()</f>
        <v>748</v>
      </c>
    </row>
    <row r="749" spans="24:33" hidden="1" x14ac:dyDescent="0.25">
      <c r="X749">
        <v>5</v>
      </c>
      <c r="Y749" t="s">
        <v>711</v>
      </c>
      <c r="Z749" t="s">
        <v>200</v>
      </c>
      <c r="AA749" t="str">
        <f>IF(OR(VLOOKUP(Table1[[#This Row],[sheet]],Prg!$A$7:$F$31,6,FALSE)=Prg!$O$2,VLOOKUP(Table1[[#This Row],[sheet]],Prg!$A$7:$F$31,6,FALSE)=Prg!$O$3),"Yes","No")</f>
        <v>Yes</v>
      </c>
      <c r="AB749">
        <v>2022</v>
      </c>
      <c r="AC749">
        <v>15</v>
      </c>
      <c r="AD749">
        <f ca="1">IF(ISERROR(VLOOKUP(Table1[[#This Row],[item]],INDIRECT("'"&amp;Table1[[#This Row],[sheet]]&amp;"'!$A$8:$T$42"),Table1[[#This Row],[r]],FALSE)),"",VLOOKUP(Table1[[#This Row],[item]],INDIRECT("'"&amp;Table1[[#This Row],[sheet]]&amp;"'!$A$8:$T$42"),Table1[[#This Row],[r]],FALSE))</f>
        <v>501527.29000000004</v>
      </c>
      <c r="AE749">
        <f>IF(VLOOKUP(Table1[[#This Row],[sheet]],Prg!$A$7:$J$31,10,FALSE)="","",VLOOKUP(Table1[[#This Row],[sheet]],Prg!$A$7:$J$31,10,FALSE)*1)</f>
        <v>1</v>
      </c>
      <c r="AF749" t="str">
        <f>VLOOKUP(Table1[[#This Row],[sheet]],Prg!$A$7:$J$31,5,FALSE)</f>
        <v>NIGER REP</v>
      </c>
      <c r="AG749">
        <f>ROW()</f>
        <v>749</v>
      </c>
    </row>
    <row r="750" spans="24:33" hidden="1" x14ac:dyDescent="0.25">
      <c r="X750">
        <v>5</v>
      </c>
      <c r="Y750" t="s">
        <v>777</v>
      </c>
      <c r="Z750" t="s">
        <v>202</v>
      </c>
      <c r="AA750" t="str">
        <f>IF(OR(VLOOKUP(Table1[[#This Row],[sheet]],Prg!$A$7:$F$31,6,FALSE)=Prg!$O$2,VLOOKUP(Table1[[#This Row],[sheet]],Prg!$A$7:$F$31,6,FALSE)=Prg!$O$3),"Yes","No")</f>
        <v>Yes</v>
      </c>
      <c r="AB750">
        <v>2022</v>
      </c>
      <c r="AC750">
        <v>15</v>
      </c>
      <c r="AD750">
        <f ca="1">IF(ISERROR(VLOOKUP(Table1[[#This Row],[item]],INDIRECT("'"&amp;Table1[[#This Row],[sheet]]&amp;"'!$A$8:$T$42"),Table1[[#This Row],[r]],FALSE)),"",VLOOKUP(Table1[[#This Row],[item]],INDIRECT("'"&amp;Table1[[#This Row],[sheet]]&amp;"'!$A$8:$T$42"),Table1[[#This Row],[r]],FALSE))</f>
        <v>25226.7</v>
      </c>
      <c r="AE750">
        <f>IF(VLOOKUP(Table1[[#This Row],[sheet]],Prg!$A$7:$J$31,10,FALSE)="","",VLOOKUP(Table1[[#This Row],[sheet]],Prg!$A$7:$J$31,10,FALSE)*1)</f>
        <v>1</v>
      </c>
      <c r="AF750" t="str">
        <f>VLOOKUP(Table1[[#This Row],[sheet]],Prg!$A$7:$J$31,5,FALSE)</f>
        <v>NIGER REP</v>
      </c>
      <c r="AG750">
        <f>ROW()</f>
        <v>750</v>
      </c>
    </row>
    <row r="751" spans="24:33" hidden="1" x14ac:dyDescent="0.25">
      <c r="X751">
        <v>5</v>
      </c>
      <c r="Y751" t="s">
        <v>778</v>
      </c>
      <c r="Z751" t="s">
        <v>204</v>
      </c>
      <c r="AA751" t="str">
        <f>IF(OR(VLOOKUP(Table1[[#This Row],[sheet]],Prg!$A$7:$F$31,6,FALSE)=Prg!$O$2,VLOOKUP(Table1[[#This Row],[sheet]],Prg!$A$7:$F$31,6,FALSE)=Prg!$O$3),"Yes","No")</f>
        <v>Yes</v>
      </c>
      <c r="AB751">
        <v>2022</v>
      </c>
      <c r="AC751">
        <v>15</v>
      </c>
      <c r="AD751">
        <f ca="1">IF(ISERROR(VLOOKUP(Table1[[#This Row],[item]],INDIRECT("'"&amp;Table1[[#This Row],[sheet]]&amp;"'!$A$8:$T$42"),Table1[[#This Row],[r]],FALSE)),"",VLOOKUP(Table1[[#This Row],[item]],INDIRECT("'"&amp;Table1[[#This Row],[sheet]]&amp;"'!$A$8:$T$42"),Table1[[#This Row],[r]],FALSE))</f>
        <v>8964</v>
      </c>
      <c r="AE751">
        <f>IF(VLOOKUP(Table1[[#This Row],[sheet]],Prg!$A$7:$J$31,10,FALSE)="","",VLOOKUP(Table1[[#This Row],[sheet]],Prg!$A$7:$J$31,10,FALSE)*1)</f>
        <v>1</v>
      </c>
      <c r="AF751" t="str">
        <f>VLOOKUP(Table1[[#This Row],[sheet]],Prg!$A$7:$J$31,5,FALSE)</f>
        <v>NIGER REP</v>
      </c>
      <c r="AG751">
        <f>ROW()</f>
        <v>751</v>
      </c>
    </row>
    <row r="752" spans="24:33" hidden="1" x14ac:dyDescent="0.25">
      <c r="X752">
        <v>5</v>
      </c>
      <c r="Y752" t="s">
        <v>779</v>
      </c>
      <c r="Z752" t="s">
        <v>605</v>
      </c>
      <c r="AA752" t="str">
        <f>IF(OR(VLOOKUP(Table1[[#This Row],[sheet]],Prg!$A$7:$F$31,6,FALSE)=Prg!$O$2,VLOOKUP(Table1[[#This Row],[sheet]],Prg!$A$7:$F$31,6,FALSE)=Prg!$O$3),"Yes","No")</f>
        <v>Yes</v>
      </c>
      <c r="AB752">
        <v>2022</v>
      </c>
      <c r="AC752">
        <v>15</v>
      </c>
      <c r="AD752">
        <f ca="1">IF(ISERROR(VLOOKUP(Table1[[#This Row],[item]],INDIRECT("'"&amp;Table1[[#This Row],[sheet]]&amp;"'!$A$8:$T$42"),Table1[[#This Row],[r]],FALSE)),"",VLOOKUP(Table1[[#This Row],[item]],INDIRECT("'"&amp;Table1[[#This Row],[sheet]]&amp;"'!$A$8:$T$42"),Table1[[#This Row],[r]],FALSE))</f>
        <v>467336.59</v>
      </c>
      <c r="AE752">
        <f>IF(VLOOKUP(Table1[[#This Row],[sheet]],Prg!$A$7:$J$31,10,FALSE)="","",VLOOKUP(Table1[[#This Row],[sheet]],Prg!$A$7:$J$31,10,FALSE)*1)</f>
        <v>1</v>
      </c>
      <c r="AF752" t="str">
        <f>VLOOKUP(Table1[[#This Row],[sheet]],Prg!$A$7:$J$31,5,FALSE)</f>
        <v>NIGER REP</v>
      </c>
      <c r="AG752">
        <f>ROW()</f>
        <v>752</v>
      </c>
    </row>
    <row r="753" spans="24:33" hidden="1" x14ac:dyDescent="0.25">
      <c r="X753">
        <v>5</v>
      </c>
      <c r="Y753" t="s">
        <v>712</v>
      </c>
      <c r="Z753" t="s">
        <v>780</v>
      </c>
      <c r="AA753" t="str">
        <f>IF(OR(VLOOKUP(Table1[[#This Row],[sheet]],Prg!$A$7:$F$31,6,FALSE)=Prg!$O$2,VLOOKUP(Table1[[#This Row],[sheet]],Prg!$A$7:$F$31,6,FALSE)=Prg!$O$3),"Yes","No")</f>
        <v>Yes</v>
      </c>
      <c r="AB753">
        <v>2022</v>
      </c>
      <c r="AC753">
        <v>15</v>
      </c>
      <c r="AD753">
        <f ca="1">IF(ISERROR(VLOOKUP(Table1[[#This Row],[item]],INDIRECT("'"&amp;Table1[[#This Row],[sheet]]&amp;"'!$A$8:$T$42"),Table1[[#This Row],[r]],FALSE)),"",VLOOKUP(Table1[[#This Row],[item]],INDIRECT("'"&amp;Table1[[#This Row],[sheet]]&amp;"'!$A$8:$T$42"),Table1[[#This Row],[r]],FALSE))</f>
        <v>282580.33999999997</v>
      </c>
      <c r="AE753">
        <f>IF(VLOOKUP(Table1[[#This Row],[sheet]],Prg!$A$7:$J$31,10,FALSE)="","",VLOOKUP(Table1[[#This Row],[sheet]],Prg!$A$7:$J$31,10,FALSE)*1)</f>
        <v>1</v>
      </c>
      <c r="AF753" t="str">
        <f>VLOOKUP(Table1[[#This Row],[sheet]],Prg!$A$7:$J$31,5,FALSE)</f>
        <v>NIGER REP</v>
      </c>
      <c r="AG753">
        <f>ROW()</f>
        <v>753</v>
      </c>
    </row>
    <row r="754" spans="24:33" hidden="1" x14ac:dyDescent="0.25">
      <c r="X754">
        <v>5</v>
      </c>
      <c r="Y754" t="s">
        <v>781</v>
      </c>
      <c r="Z754" t="s">
        <v>782</v>
      </c>
      <c r="AA754" t="str">
        <f>IF(OR(VLOOKUP(Table1[[#This Row],[sheet]],Prg!$A$7:$F$31,6,FALSE)=Prg!$O$2,VLOOKUP(Table1[[#This Row],[sheet]],Prg!$A$7:$F$31,6,FALSE)=Prg!$O$3),"Yes","No")</f>
        <v>Yes</v>
      </c>
      <c r="AB754">
        <v>2022</v>
      </c>
      <c r="AC754">
        <v>15</v>
      </c>
      <c r="AD754">
        <f ca="1">IF(ISERROR(VLOOKUP(Table1[[#This Row],[item]],INDIRECT("'"&amp;Table1[[#This Row],[sheet]]&amp;"'!$A$8:$T$42"),Table1[[#This Row],[r]],FALSE)),"",VLOOKUP(Table1[[#This Row],[item]],INDIRECT("'"&amp;Table1[[#This Row],[sheet]]&amp;"'!$A$8:$T$42"),Table1[[#This Row],[r]],FALSE))</f>
        <v>0</v>
      </c>
      <c r="AE754">
        <f>IF(VLOOKUP(Table1[[#This Row],[sheet]],Prg!$A$7:$J$31,10,FALSE)="","",VLOOKUP(Table1[[#This Row],[sheet]],Prg!$A$7:$J$31,10,FALSE)*1)</f>
        <v>1</v>
      </c>
      <c r="AF754" t="str">
        <f>VLOOKUP(Table1[[#This Row],[sheet]],Prg!$A$7:$J$31,5,FALSE)</f>
        <v>NIGER REP</v>
      </c>
      <c r="AG754">
        <f>ROW()</f>
        <v>754</v>
      </c>
    </row>
    <row r="755" spans="24:33" hidden="1" x14ac:dyDescent="0.25">
      <c r="X755">
        <v>5</v>
      </c>
      <c r="Y755" t="s">
        <v>783</v>
      </c>
      <c r="Z755" t="s">
        <v>784</v>
      </c>
      <c r="AA755" t="str">
        <f>IF(OR(VLOOKUP(Table1[[#This Row],[sheet]],Prg!$A$7:$F$31,6,FALSE)=Prg!$O$2,VLOOKUP(Table1[[#This Row],[sheet]],Prg!$A$7:$F$31,6,FALSE)=Prg!$O$3),"Yes","No")</f>
        <v>Yes</v>
      </c>
      <c r="AB755">
        <v>2022</v>
      </c>
      <c r="AC755">
        <v>15</v>
      </c>
      <c r="AD755">
        <f ca="1">IF(ISERROR(VLOOKUP(Table1[[#This Row],[item]],INDIRECT("'"&amp;Table1[[#This Row],[sheet]]&amp;"'!$A$8:$T$42"),Table1[[#This Row],[r]],FALSE)),"",VLOOKUP(Table1[[#This Row],[item]],INDIRECT("'"&amp;Table1[[#This Row],[sheet]]&amp;"'!$A$8:$T$42"),Table1[[#This Row],[r]],FALSE))</f>
        <v>0</v>
      </c>
      <c r="AE755">
        <f>IF(VLOOKUP(Table1[[#This Row],[sheet]],Prg!$A$7:$J$31,10,FALSE)="","",VLOOKUP(Table1[[#This Row],[sheet]],Prg!$A$7:$J$31,10,FALSE)*1)</f>
        <v>1</v>
      </c>
      <c r="AF755" t="str">
        <f>VLOOKUP(Table1[[#This Row],[sheet]],Prg!$A$7:$J$31,5,FALSE)</f>
        <v>NIGER REP</v>
      </c>
      <c r="AG755">
        <f>ROW()</f>
        <v>755</v>
      </c>
    </row>
    <row r="756" spans="24:33" hidden="1" x14ac:dyDescent="0.25">
      <c r="X756">
        <v>5</v>
      </c>
      <c r="Y756" t="s">
        <v>785</v>
      </c>
      <c r="Z756" t="s">
        <v>786</v>
      </c>
      <c r="AA756" t="str">
        <f>IF(OR(VLOOKUP(Table1[[#This Row],[sheet]],Prg!$A$7:$F$31,6,FALSE)=Prg!$O$2,VLOOKUP(Table1[[#This Row],[sheet]],Prg!$A$7:$F$31,6,FALSE)=Prg!$O$3),"Yes","No")</f>
        <v>Yes</v>
      </c>
      <c r="AB756">
        <v>2022</v>
      </c>
      <c r="AC756">
        <v>15</v>
      </c>
      <c r="AD756">
        <f ca="1">IF(ISERROR(VLOOKUP(Table1[[#This Row],[item]],INDIRECT("'"&amp;Table1[[#This Row],[sheet]]&amp;"'!$A$8:$T$42"),Table1[[#This Row],[r]],FALSE)),"",VLOOKUP(Table1[[#This Row],[item]],INDIRECT("'"&amp;Table1[[#This Row],[sheet]]&amp;"'!$A$8:$T$42"),Table1[[#This Row],[r]],FALSE))</f>
        <v>282580.33999999997</v>
      </c>
      <c r="AE756">
        <f>IF(VLOOKUP(Table1[[#This Row],[sheet]],Prg!$A$7:$J$31,10,FALSE)="","",VLOOKUP(Table1[[#This Row],[sheet]],Prg!$A$7:$J$31,10,FALSE)*1)</f>
        <v>1</v>
      </c>
      <c r="AF756" t="str">
        <f>VLOOKUP(Table1[[#This Row],[sheet]],Prg!$A$7:$J$31,5,FALSE)</f>
        <v>NIGER REP</v>
      </c>
      <c r="AG756">
        <f>ROW()</f>
        <v>756</v>
      </c>
    </row>
    <row r="757" spans="24:33" hidden="1" x14ac:dyDescent="0.25">
      <c r="X757">
        <v>5</v>
      </c>
      <c r="Y757" t="s">
        <v>787</v>
      </c>
      <c r="Z757" t="s">
        <v>633</v>
      </c>
      <c r="AA757" t="str">
        <f>IF(OR(VLOOKUP(Table1[[#This Row],[sheet]],Prg!$A$7:$F$31,6,FALSE)=Prg!$O$2,VLOOKUP(Table1[[#This Row],[sheet]],Prg!$A$7:$F$31,6,FALSE)=Prg!$O$3),"Yes","No")</f>
        <v>Yes</v>
      </c>
      <c r="AB757">
        <v>2022</v>
      </c>
      <c r="AC757">
        <v>15</v>
      </c>
      <c r="AD757">
        <f ca="1">IF(ISERROR(VLOOKUP(Table1[[#This Row],[item]],INDIRECT("'"&amp;Table1[[#This Row],[sheet]]&amp;"'!$A$8:$T$42"),Table1[[#This Row],[r]],FALSE)),"",VLOOKUP(Table1[[#This Row],[item]],INDIRECT("'"&amp;Table1[[#This Row],[sheet]]&amp;"'!$A$8:$T$42"),Table1[[#This Row],[r]],FALSE))</f>
        <v>0</v>
      </c>
      <c r="AE757">
        <f>IF(VLOOKUP(Table1[[#This Row],[sheet]],Prg!$A$7:$J$31,10,FALSE)="","",VLOOKUP(Table1[[#This Row],[sheet]],Prg!$A$7:$J$31,10,FALSE)*1)</f>
        <v>1</v>
      </c>
      <c r="AF757" t="str">
        <f>VLOOKUP(Table1[[#This Row],[sheet]],Prg!$A$7:$J$31,5,FALSE)</f>
        <v>NIGER REP</v>
      </c>
      <c r="AG757">
        <f>ROW()</f>
        <v>757</v>
      </c>
    </row>
    <row r="758" spans="24:33" hidden="1" x14ac:dyDescent="0.25">
      <c r="X758">
        <v>5</v>
      </c>
      <c r="Y758" s="53" t="s">
        <v>753</v>
      </c>
      <c r="Z758" s="53" t="s">
        <v>162</v>
      </c>
      <c r="AA758" s="53" t="str">
        <f>IF(OR(VLOOKUP(Table1[[#This Row],[sheet]],Prg!$A$7:$F$31,6,FALSE)=Prg!$O$2,VLOOKUP(Table1[[#This Row],[sheet]],Prg!$A$7:$F$31,6,FALSE)=Prg!$O$3),"Yes","No")</f>
        <v>Yes</v>
      </c>
      <c r="AB758" s="53">
        <v>2023</v>
      </c>
      <c r="AC758">
        <v>16</v>
      </c>
      <c r="AD758">
        <f ca="1">IF(ISERROR(VLOOKUP(Table1[[#This Row],[item]],INDIRECT("'"&amp;Table1[[#This Row],[sheet]]&amp;"'!$A$8:$T$42"),Table1[[#This Row],[r]],FALSE)),"",VLOOKUP(Table1[[#This Row],[item]],INDIRECT("'"&amp;Table1[[#This Row],[sheet]]&amp;"'!$A$8:$T$42"),Table1[[#This Row],[r]],FALSE))</f>
        <v>424963.57</v>
      </c>
      <c r="AE758">
        <f>IF(VLOOKUP(Table1[[#This Row],[sheet]],Prg!$A$7:$J$31,10,FALSE)="","",VLOOKUP(Table1[[#This Row],[sheet]],Prg!$A$7:$J$31,10,FALSE)*1)</f>
        <v>1</v>
      </c>
      <c r="AF758" t="str">
        <f>VLOOKUP(Table1[[#This Row],[sheet]],Prg!$A$7:$J$31,5,FALSE)</f>
        <v>NIGER REP</v>
      </c>
      <c r="AG758">
        <f>ROW()</f>
        <v>758</v>
      </c>
    </row>
    <row r="759" spans="24:33" hidden="1" x14ac:dyDescent="0.25">
      <c r="X759">
        <v>5</v>
      </c>
      <c r="Y759" t="s">
        <v>754</v>
      </c>
      <c r="Z759" t="s">
        <v>164</v>
      </c>
      <c r="AA759" t="str">
        <f>IF(OR(VLOOKUP(Table1[[#This Row],[sheet]],Prg!$A$7:$F$31,6,FALSE)=Prg!$O$2,VLOOKUP(Table1[[#This Row],[sheet]],Prg!$A$7:$F$31,6,FALSE)=Prg!$O$3),"Yes","No")</f>
        <v>Yes</v>
      </c>
      <c r="AB759">
        <v>2023</v>
      </c>
      <c r="AC759">
        <v>16</v>
      </c>
      <c r="AD759">
        <f ca="1">IF(ISERROR(VLOOKUP(Table1[[#This Row],[item]],INDIRECT("'"&amp;Table1[[#This Row],[sheet]]&amp;"'!$A$8:$T$42"),Table1[[#This Row],[r]],FALSE)),"",VLOOKUP(Table1[[#This Row],[item]],INDIRECT("'"&amp;Table1[[#This Row],[sheet]]&amp;"'!$A$8:$T$42"),Table1[[#This Row],[r]],FALSE))</f>
        <v>0</v>
      </c>
      <c r="AE759">
        <f>IF(VLOOKUP(Table1[[#This Row],[sheet]],Prg!$A$7:$J$31,10,FALSE)="","",VLOOKUP(Table1[[#This Row],[sheet]],Prg!$A$7:$J$31,10,FALSE)*1)</f>
        <v>1</v>
      </c>
      <c r="AF759" t="str">
        <f>VLOOKUP(Table1[[#This Row],[sheet]],Prg!$A$7:$J$31,5,FALSE)</f>
        <v>NIGER REP</v>
      </c>
      <c r="AG759">
        <f>ROW()</f>
        <v>759</v>
      </c>
    </row>
    <row r="760" spans="24:33" hidden="1" x14ac:dyDescent="0.25">
      <c r="X760">
        <v>5</v>
      </c>
      <c r="Y760" t="s">
        <v>755</v>
      </c>
      <c r="Z760" t="s">
        <v>166</v>
      </c>
      <c r="AA760" t="str">
        <f>IF(OR(VLOOKUP(Table1[[#This Row],[sheet]],Prg!$A$7:$F$31,6,FALSE)=Prg!$O$2,VLOOKUP(Table1[[#This Row],[sheet]],Prg!$A$7:$F$31,6,FALSE)=Prg!$O$3),"Yes","No")</f>
        <v>Yes</v>
      </c>
      <c r="AB760">
        <v>2023</v>
      </c>
      <c r="AC760">
        <v>16</v>
      </c>
      <c r="AD760">
        <f ca="1">IF(ISERROR(VLOOKUP(Table1[[#This Row],[item]],INDIRECT("'"&amp;Table1[[#This Row],[sheet]]&amp;"'!$A$8:$T$42"),Table1[[#This Row],[r]],FALSE)),"",VLOOKUP(Table1[[#This Row],[item]],INDIRECT("'"&amp;Table1[[#This Row],[sheet]]&amp;"'!$A$8:$T$42"),Table1[[#This Row],[r]],FALSE))</f>
        <v>341634.94</v>
      </c>
      <c r="AE760">
        <f>IF(VLOOKUP(Table1[[#This Row],[sheet]],Prg!$A$7:$J$31,10,FALSE)="","",VLOOKUP(Table1[[#This Row],[sheet]],Prg!$A$7:$J$31,10,FALSE)*1)</f>
        <v>1</v>
      </c>
      <c r="AF760" t="str">
        <f>VLOOKUP(Table1[[#This Row],[sheet]],Prg!$A$7:$J$31,5,FALSE)</f>
        <v>NIGER REP</v>
      </c>
      <c r="AG760">
        <f>ROW()</f>
        <v>760</v>
      </c>
    </row>
    <row r="761" spans="24:33" hidden="1" x14ac:dyDescent="0.25">
      <c r="X761">
        <v>5</v>
      </c>
      <c r="Y761" t="s">
        <v>756</v>
      </c>
      <c r="Z761" t="s">
        <v>757</v>
      </c>
      <c r="AA761" t="str">
        <f>IF(OR(VLOOKUP(Table1[[#This Row],[sheet]],Prg!$A$7:$F$31,6,FALSE)=Prg!$O$2,VLOOKUP(Table1[[#This Row],[sheet]],Prg!$A$7:$F$31,6,FALSE)=Prg!$O$3),"Yes","No")</f>
        <v>Yes</v>
      </c>
      <c r="AB761">
        <v>2023</v>
      </c>
      <c r="AC761">
        <v>16</v>
      </c>
      <c r="AD761">
        <f ca="1">IF(ISERROR(VLOOKUP(Table1[[#This Row],[item]],INDIRECT("'"&amp;Table1[[#This Row],[sheet]]&amp;"'!$A$8:$T$42"),Table1[[#This Row],[r]],FALSE)),"",VLOOKUP(Table1[[#This Row],[item]],INDIRECT("'"&amp;Table1[[#This Row],[sheet]]&amp;"'!$A$8:$T$42"),Table1[[#This Row],[r]],FALSE))</f>
        <v>83328.63</v>
      </c>
      <c r="AE761">
        <f>IF(VLOOKUP(Table1[[#This Row],[sheet]],Prg!$A$7:$J$31,10,FALSE)="","",VLOOKUP(Table1[[#This Row],[sheet]],Prg!$A$7:$J$31,10,FALSE)*1)</f>
        <v>1</v>
      </c>
      <c r="AF761" t="str">
        <f>VLOOKUP(Table1[[#This Row],[sheet]],Prg!$A$7:$J$31,5,FALSE)</f>
        <v>NIGER REP</v>
      </c>
      <c r="AG761">
        <f>ROW()</f>
        <v>761</v>
      </c>
    </row>
    <row r="762" spans="24:33" hidden="1" x14ac:dyDescent="0.25">
      <c r="X762">
        <v>5</v>
      </c>
      <c r="Y762" t="s">
        <v>758</v>
      </c>
      <c r="Z762" t="s">
        <v>170</v>
      </c>
      <c r="AA762" t="str">
        <f>IF(OR(VLOOKUP(Table1[[#This Row],[sheet]],Prg!$A$7:$F$31,6,FALSE)=Prg!$O$2,VLOOKUP(Table1[[#This Row],[sheet]],Prg!$A$7:$F$31,6,FALSE)=Prg!$O$3),"Yes","No")</f>
        <v>Yes</v>
      </c>
      <c r="AB762">
        <v>2023</v>
      </c>
      <c r="AC762">
        <v>16</v>
      </c>
      <c r="AD762">
        <f ca="1">IF(ISERROR(VLOOKUP(Table1[[#This Row],[item]],INDIRECT("'"&amp;Table1[[#This Row],[sheet]]&amp;"'!$A$8:$T$42"),Table1[[#This Row],[r]],FALSE)),"",VLOOKUP(Table1[[#This Row],[item]],INDIRECT("'"&amp;Table1[[#This Row],[sheet]]&amp;"'!$A$8:$T$42"),Table1[[#This Row],[r]],FALSE))</f>
        <v>38112.25</v>
      </c>
      <c r="AE762">
        <f>IF(VLOOKUP(Table1[[#This Row],[sheet]],Prg!$A$7:$J$31,10,FALSE)="","",VLOOKUP(Table1[[#This Row],[sheet]],Prg!$A$7:$J$31,10,FALSE)*1)</f>
        <v>1</v>
      </c>
      <c r="AF762" t="str">
        <f>VLOOKUP(Table1[[#This Row],[sheet]],Prg!$A$7:$J$31,5,FALSE)</f>
        <v>NIGER REP</v>
      </c>
      <c r="AG762">
        <f>ROW()</f>
        <v>762</v>
      </c>
    </row>
    <row r="763" spans="24:33" hidden="1" x14ac:dyDescent="0.25">
      <c r="X763">
        <v>5</v>
      </c>
      <c r="Y763" t="s">
        <v>759</v>
      </c>
      <c r="Z763" t="s">
        <v>172</v>
      </c>
      <c r="AA763" t="str">
        <f>IF(OR(VLOOKUP(Table1[[#This Row],[sheet]],Prg!$A$7:$F$31,6,FALSE)=Prg!$O$2,VLOOKUP(Table1[[#This Row],[sheet]],Prg!$A$7:$F$31,6,FALSE)=Prg!$O$3),"Yes","No")</f>
        <v>Yes</v>
      </c>
      <c r="AB763">
        <v>2023</v>
      </c>
      <c r="AC763">
        <v>16</v>
      </c>
      <c r="AD763">
        <f ca="1">IF(ISERROR(VLOOKUP(Table1[[#This Row],[item]],INDIRECT("'"&amp;Table1[[#This Row],[sheet]]&amp;"'!$A$8:$T$42"),Table1[[#This Row],[r]],FALSE)),"",VLOOKUP(Table1[[#This Row],[item]],INDIRECT("'"&amp;Table1[[#This Row],[sheet]]&amp;"'!$A$8:$T$42"),Table1[[#This Row],[r]],FALSE))</f>
        <v>0</v>
      </c>
      <c r="AE763">
        <f>IF(VLOOKUP(Table1[[#This Row],[sheet]],Prg!$A$7:$J$31,10,FALSE)="","",VLOOKUP(Table1[[#This Row],[sheet]],Prg!$A$7:$J$31,10,FALSE)*1)</f>
        <v>1</v>
      </c>
      <c r="AF763" t="str">
        <f>VLOOKUP(Table1[[#This Row],[sheet]],Prg!$A$7:$J$31,5,FALSE)</f>
        <v>NIGER REP</v>
      </c>
      <c r="AG763">
        <f>ROW()</f>
        <v>763</v>
      </c>
    </row>
    <row r="764" spans="24:33" hidden="1" x14ac:dyDescent="0.25">
      <c r="X764">
        <v>5</v>
      </c>
      <c r="Y764" t="s">
        <v>760</v>
      </c>
      <c r="Z764" t="s">
        <v>174</v>
      </c>
      <c r="AA764" t="str">
        <f>IF(OR(VLOOKUP(Table1[[#This Row],[sheet]],Prg!$A$7:$F$31,6,FALSE)=Prg!$O$2,VLOOKUP(Table1[[#This Row],[sheet]],Prg!$A$7:$F$31,6,FALSE)=Prg!$O$3),"Yes","No")</f>
        <v>Yes</v>
      </c>
      <c r="AB764">
        <v>2023</v>
      </c>
      <c r="AC764">
        <v>16</v>
      </c>
      <c r="AD764">
        <f ca="1">IF(ISERROR(VLOOKUP(Table1[[#This Row],[item]],INDIRECT("'"&amp;Table1[[#This Row],[sheet]]&amp;"'!$A$8:$T$42"),Table1[[#This Row],[r]],FALSE)),"",VLOOKUP(Table1[[#This Row],[item]],INDIRECT("'"&amp;Table1[[#This Row],[sheet]]&amp;"'!$A$8:$T$42"),Table1[[#This Row],[r]],FALSE))</f>
        <v>38112.25</v>
      </c>
      <c r="AE764">
        <f>IF(VLOOKUP(Table1[[#This Row],[sheet]],Prg!$A$7:$J$31,10,FALSE)="","",VLOOKUP(Table1[[#This Row],[sheet]],Prg!$A$7:$J$31,10,FALSE)*1)</f>
        <v>1</v>
      </c>
      <c r="AF764" t="str">
        <f>VLOOKUP(Table1[[#This Row],[sheet]],Prg!$A$7:$J$31,5,FALSE)</f>
        <v>NIGER REP</v>
      </c>
      <c r="AG764">
        <f>ROW()</f>
        <v>764</v>
      </c>
    </row>
    <row r="765" spans="24:33" hidden="1" x14ac:dyDescent="0.25">
      <c r="X765">
        <v>5</v>
      </c>
      <c r="Y765" t="s">
        <v>761</v>
      </c>
      <c r="Z765" t="s">
        <v>762</v>
      </c>
      <c r="AA765" t="str">
        <f>IF(OR(VLOOKUP(Table1[[#This Row],[sheet]],Prg!$A$7:$F$31,6,FALSE)=Prg!$O$2,VLOOKUP(Table1[[#This Row],[sheet]],Prg!$A$7:$F$31,6,FALSE)=Prg!$O$3),"Yes","No")</f>
        <v>Yes</v>
      </c>
      <c r="AB765">
        <v>2023</v>
      </c>
      <c r="AC765">
        <v>16</v>
      </c>
      <c r="AD765">
        <f ca="1">IF(ISERROR(VLOOKUP(Table1[[#This Row],[item]],INDIRECT("'"&amp;Table1[[#This Row],[sheet]]&amp;"'!$A$8:$T$42"),Table1[[#This Row],[r]],FALSE)),"",VLOOKUP(Table1[[#This Row],[item]],INDIRECT("'"&amp;Table1[[#This Row],[sheet]]&amp;"'!$A$8:$T$42"),Table1[[#This Row],[r]],FALSE))</f>
        <v>0</v>
      </c>
      <c r="AE765">
        <f>IF(VLOOKUP(Table1[[#This Row],[sheet]],Prg!$A$7:$J$31,10,FALSE)="","",VLOOKUP(Table1[[#This Row],[sheet]],Prg!$A$7:$J$31,10,FALSE)*1)</f>
        <v>1</v>
      </c>
      <c r="AF765" t="str">
        <f>VLOOKUP(Table1[[#This Row],[sheet]],Prg!$A$7:$J$31,5,FALSE)</f>
        <v>NIGER REP</v>
      </c>
      <c r="AG765">
        <f>ROW()</f>
        <v>765</v>
      </c>
    </row>
    <row r="766" spans="24:33" hidden="1" x14ac:dyDescent="0.25">
      <c r="X766">
        <v>5</v>
      </c>
      <c r="Y766" t="s">
        <v>763</v>
      </c>
      <c r="Z766" t="s">
        <v>178</v>
      </c>
      <c r="AA766" t="str">
        <f>IF(OR(VLOOKUP(Table1[[#This Row],[sheet]],Prg!$A$7:$F$31,6,FALSE)=Prg!$O$2,VLOOKUP(Table1[[#This Row],[sheet]],Prg!$A$7:$F$31,6,FALSE)=Prg!$O$3),"Yes","No")</f>
        <v>Yes</v>
      </c>
      <c r="AB766">
        <v>2023</v>
      </c>
      <c r="AC766">
        <v>16</v>
      </c>
      <c r="AD766">
        <f ca="1">IF(ISERROR(VLOOKUP(Table1[[#This Row],[item]],INDIRECT("'"&amp;Table1[[#This Row],[sheet]]&amp;"'!$A$8:$T$42"),Table1[[#This Row],[r]],FALSE)),"",VLOOKUP(Table1[[#This Row],[item]],INDIRECT("'"&amp;Table1[[#This Row],[sheet]]&amp;"'!$A$8:$T$42"),Table1[[#This Row],[r]],FALSE))</f>
        <v>189431.62</v>
      </c>
      <c r="AE766">
        <f>IF(VLOOKUP(Table1[[#This Row],[sheet]],Prg!$A$7:$J$31,10,FALSE)="","",VLOOKUP(Table1[[#This Row],[sheet]],Prg!$A$7:$J$31,10,FALSE)*1)</f>
        <v>1</v>
      </c>
      <c r="AF766" t="str">
        <f>VLOOKUP(Table1[[#This Row],[sheet]],Prg!$A$7:$J$31,5,FALSE)</f>
        <v>NIGER REP</v>
      </c>
      <c r="AG766">
        <f>ROW()</f>
        <v>766</v>
      </c>
    </row>
    <row r="767" spans="24:33" hidden="1" x14ac:dyDescent="0.25">
      <c r="X767">
        <v>5</v>
      </c>
      <c r="Y767" t="s">
        <v>764</v>
      </c>
      <c r="Z767" t="s">
        <v>109</v>
      </c>
      <c r="AA767" t="str">
        <f>IF(OR(VLOOKUP(Table1[[#This Row],[sheet]],Prg!$A$7:$F$31,6,FALSE)=Prg!$O$2,VLOOKUP(Table1[[#This Row],[sheet]],Prg!$A$7:$F$31,6,FALSE)=Prg!$O$3),"Yes","No")</f>
        <v>Yes</v>
      </c>
      <c r="AB767">
        <v>2023</v>
      </c>
      <c r="AC767">
        <v>16</v>
      </c>
      <c r="AD767">
        <f ca="1">IF(ISERROR(VLOOKUP(Table1[[#This Row],[item]],INDIRECT("'"&amp;Table1[[#This Row],[sheet]]&amp;"'!$A$8:$T$42"),Table1[[#This Row],[r]],FALSE)),"",VLOOKUP(Table1[[#This Row],[item]],INDIRECT("'"&amp;Table1[[#This Row],[sheet]]&amp;"'!$A$8:$T$42"),Table1[[#This Row],[r]],FALSE))</f>
        <v>971.1</v>
      </c>
      <c r="AE767">
        <f>IF(VLOOKUP(Table1[[#This Row],[sheet]],Prg!$A$7:$J$31,10,FALSE)="","",VLOOKUP(Table1[[#This Row],[sheet]],Prg!$A$7:$J$31,10,FALSE)*1)</f>
        <v>1</v>
      </c>
      <c r="AF767" t="str">
        <f>VLOOKUP(Table1[[#This Row],[sheet]],Prg!$A$7:$J$31,5,FALSE)</f>
        <v>NIGER REP</v>
      </c>
      <c r="AG767">
        <f>ROW()</f>
        <v>767</v>
      </c>
    </row>
    <row r="768" spans="24:33" hidden="1" x14ac:dyDescent="0.25">
      <c r="X768">
        <v>5</v>
      </c>
      <c r="Y768" t="s">
        <v>765</v>
      </c>
      <c r="Z768" t="s">
        <v>117</v>
      </c>
      <c r="AA768" t="str">
        <f>IF(OR(VLOOKUP(Table1[[#This Row],[sheet]],Prg!$A$7:$F$31,6,FALSE)=Prg!$O$2,VLOOKUP(Table1[[#This Row],[sheet]],Prg!$A$7:$F$31,6,FALSE)=Prg!$O$3),"Yes","No")</f>
        <v>Yes</v>
      </c>
      <c r="AB768">
        <v>2023</v>
      </c>
      <c r="AC768">
        <v>16</v>
      </c>
      <c r="AD768">
        <f ca="1">IF(ISERROR(VLOOKUP(Table1[[#This Row],[item]],INDIRECT("'"&amp;Table1[[#This Row],[sheet]]&amp;"'!$A$8:$T$42"),Table1[[#This Row],[r]],FALSE)),"",VLOOKUP(Table1[[#This Row],[item]],INDIRECT("'"&amp;Table1[[#This Row],[sheet]]&amp;"'!$A$8:$T$42"),Table1[[#This Row],[r]],FALSE))</f>
        <v>27320.809999999998</v>
      </c>
      <c r="AE768">
        <f>IF(VLOOKUP(Table1[[#This Row],[sheet]],Prg!$A$7:$J$31,10,FALSE)="","",VLOOKUP(Table1[[#This Row],[sheet]],Prg!$A$7:$J$31,10,FALSE)*1)</f>
        <v>1</v>
      </c>
      <c r="AF768" t="str">
        <f>VLOOKUP(Table1[[#This Row],[sheet]],Prg!$A$7:$J$31,5,FALSE)</f>
        <v>NIGER REP</v>
      </c>
      <c r="AG768">
        <f>ROW()</f>
        <v>768</v>
      </c>
    </row>
    <row r="769" spans="24:33" hidden="1" x14ac:dyDescent="0.25">
      <c r="X769">
        <v>5</v>
      </c>
      <c r="Y769" t="s">
        <v>766</v>
      </c>
      <c r="Z769" t="s">
        <v>767</v>
      </c>
      <c r="AA769" t="str">
        <f>IF(OR(VLOOKUP(Table1[[#This Row],[sheet]],Prg!$A$7:$F$31,6,FALSE)=Prg!$O$2,VLOOKUP(Table1[[#This Row],[sheet]],Prg!$A$7:$F$31,6,FALSE)=Prg!$O$3),"Yes","No")</f>
        <v>Yes</v>
      </c>
      <c r="AB769">
        <v>2023</v>
      </c>
      <c r="AC769">
        <v>16</v>
      </c>
      <c r="AD769">
        <f ca="1">IF(ISERROR(VLOOKUP(Table1[[#This Row],[item]],INDIRECT("'"&amp;Table1[[#This Row],[sheet]]&amp;"'!$A$8:$T$42"),Table1[[#This Row],[r]],FALSE)),"",VLOOKUP(Table1[[#This Row],[item]],INDIRECT("'"&amp;Table1[[#This Row],[sheet]]&amp;"'!$A$8:$T$42"),Table1[[#This Row],[r]],FALSE))</f>
        <v>161139.71</v>
      </c>
      <c r="AE769">
        <f>IF(VLOOKUP(Table1[[#This Row],[sheet]],Prg!$A$7:$J$31,10,FALSE)="","",VLOOKUP(Table1[[#This Row],[sheet]],Prg!$A$7:$J$31,10,FALSE)*1)</f>
        <v>1</v>
      </c>
      <c r="AF769" t="str">
        <f>VLOOKUP(Table1[[#This Row],[sheet]],Prg!$A$7:$J$31,5,FALSE)</f>
        <v>NIGER REP</v>
      </c>
      <c r="AG769">
        <f>ROW()</f>
        <v>769</v>
      </c>
    </row>
    <row r="770" spans="24:33" hidden="1" x14ac:dyDescent="0.25">
      <c r="X770">
        <v>5</v>
      </c>
      <c r="Y770" t="s">
        <v>768</v>
      </c>
      <c r="Z770" t="s">
        <v>182</v>
      </c>
      <c r="AA770" t="str">
        <f>IF(OR(VLOOKUP(Table1[[#This Row],[sheet]],Prg!$A$7:$F$31,6,FALSE)=Prg!$O$2,VLOOKUP(Table1[[#This Row],[sheet]],Prg!$A$7:$F$31,6,FALSE)=Prg!$O$3),"Yes","No")</f>
        <v>Yes</v>
      </c>
      <c r="AB770">
        <v>2023</v>
      </c>
      <c r="AC770">
        <v>16</v>
      </c>
      <c r="AD770">
        <f ca="1">IF(ISERROR(VLOOKUP(Table1[[#This Row],[item]],INDIRECT("'"&amp;Table1[[#This Row],[sheet]]&amp;"'!$A$8:$T$42"),Table1[[#This Row],[r]],FALSE)),"",VLOOKUP(Table1[[#This Row],[item]],INDIRECT("'"&amp;Table1[[#This Row],[sheet]]&amp;"'!$A$8:$T$42"),Table1[[#This Row],[r]],FALSE))</f>
        <v>4000</v>
      </c>
      <c r="AE770">
        <f>IF(VLOOKUP(Table1[[#This Row],[sheet]],Prg!$A$7:$J$31,10,FALSE)="","",VLOOKUP(Table1[[#This Row],[sheet]],Prg!$A$7:$J$31,10,FALSE)*1)</f>
        <v>1</v>
      </c>
      <c r="AF770" t="str">
        <f>VLOOKUP(Table1[[#This Row],[sheet]],Prg!$A$7:$J$31,5,FALSE)</f>
        <v>NIGER REP</v>
      </c>
      <c r="AG770">
        <f>ROW()</f>
        <v>770</v>
      </c>
    </row>
    <row r="771" spans="24:33" hidden="1" x14ac:dyDescent="0.25">
      <c r="X771">
        <v>5</v>
      </c>
      <c r="Y771" t="s">
        <v>769</v>
      </c>
      <c r="Z771" t="s">
        <v>184</v>
      </c>
      <c r="AA771" t="str">
        <f>IF(OR(VLOOKUP(Table1[[#This Row],[sheet]],Prg!$A$7:$F$31,6,FALSE)=Prg!$O$2,VLOOKUP(Table1[[#This Row],[sheet]],Prg!$A$7:$F$31,6,FALSE)=Prg!$O$3),"Yes","No")</f>
        <v>Yes</v>
      </c>
      <c r="AB771">
        <v>2023</v>
      </c>
      <c r="AC771">
        <v>16</v>
      </c>
      <c r="AD771">
        <f ca="1">IF(ISERROR(VLOOKUP(Table1[[#This Row],[item]],INDIRECT("'"&amp;Table1[[#This Row],[sheet]]&amp;"'!$A$8:$T$42"),Table1[[#This Row],[r]],FALSE)),"",VLOOKUP(Table1[[#This Row],[item]],INDIRECT("'"&amp;Table1[[#This Row],[sheet]]&amp;"'!$A$8:$T$42"),Table1[[#This Row],[r]],FALSE))</f>
        <v>0</v>
      </c>
      <c r="AE771">
        <f>IF(VLOOKUP(Table1[[#This Row],[sheet]],Prg!$A$7:$J$31,10,FALSE)="","",VLOOKUP(Table1[[#This Row],[sheet]],Prg!$A$7:$J$31,10,FALSE)*1)</f>
        <v>1</v>
      </c>
      <c r="AF771" t="str">
        <f>VLOOKUP(Table1[[#This Row],[sheet]],Prg!$A$7:$J$31,5,FALSE)</f>
        <v>NIGER REP</v>
      </c>
      <c r="AG771">
        <f>ROW()</f>
        <v>771</v>
      </c>
    </row>
    <row r="772" spans="24:33" hidden="1" x14ac:dyDescent="0.25">
      <c r="X772">
        <v>5</v>
      </c>
      <c r="Y772" t="s">
        <v>770</v>
      </c>
      <c r="Z772" t="s">
        <v>186</v>
      </c>
      <c r="AA772" t="str">
        <f>IF(OR(VLOOKUP(Table1[[#This Row],[sheet]],Prg!$A$7:$F$31,6,FALSE)=Prg!$O$2,VLOOKUP(Table1[[#This Row],[sheet]],Prg!$A$7:$F$31,6,FALSE)=Prg!$O$3),"Yes","No")</f>
        <v>Yes</v>
      </c>
      <c r="AB772">
        <v>2023</v>
      </c>
      <c r="AC772">
        <v>16</v>
      </c>
      <c r="AD772">
        <f ca="1">IF(ISERROR(VLOOKUP(Table1[[#This Row],[item]],INDIRECT("'"&amp;Table1[[#This Row],[sheet]]&amp;"'!$A$8:$T$42"),Table1[[#This Row],[r]],FALSE)),"",VLOOKUP(Table1[[#This Row],[item]],INDIRECT("'"&amp;Table1[[#This Row],[sheet]]&amp;"'!$A$8:$T$42"),Table1[[#This Row],[r]],FALSE))</f>
        <v>4000</v>
      </c>
      <c r="AE772">
        <f>IF(VLOOKUP(Table1[[#This Row],[sheet]],Prg!$A$7:$J$31,10,FALSE)="","",VLOOKUP(Table1[[#This Row],[sheet]],Prg!$A$7:$J$31,10,FALSE)*1)</f>
        <v>1</v>
      </c>
      <c r="AF772" t="str">
        <f>VLOOKUP(Table1[[#This Row],[sheet]],Prg!$A$7:$J$31,5,FALSE)</f>
        <v>NIGER REP</v>
      </c>
      <c r="AG772">
        <f>ROW()</f>
        <v>772</v>
      </c>
    </row>
    <row r="773" spans="24:33" hidden="1" x14ac:dyDescent="0.25">
      <c r="X773">
        <v>5</v>
      </c>
      <c r="Y773" t="s">
        <v>771</v>
      </c>
      <c r="Z773" t="s">
        <v>772</v>
      </c>
      <c r="AA773" t="str">
        <f>IF(OR(VLOOKUP(Table1[[#This Row],[sheet]],Prg!$A$7:$F$31,6,FALSE)=Prg!$O$2,VLOOKUP(Table1[[#This Row],[sheet]],Prg!$A$7:$F$31,6,FALSE)=Prg!$O$3),"Yes","No")</f>
        <v>Yes</v>
      </c>
      <c r="AB773">
        <v>2023</v>
      </c>
      <c r="AC773">
        <v>16</v>
      </c>
      <c r="AD773">
        <f ca="1">IF(ISERROR(VLOOKUP(Table1[[#This Row],[item]],INDIRECT("'"&amp;Table1[[#This Row],[sheet]]&amp;"'!$A$8:$T$42"),Table1[[#This Row],[r]],FALSE)),"",VLOOKUP(Table1[[#This Row],[item]],INDIRECT("'"&amp;Table1[[#This Row],[sheet]]&amp;"'!$A$8:$T$42"),Table1[[#This Row],[r]],FALSE))</f>
        <v>0</v>
      </c>
      <c r="AE773">
        <f>IF(VLOOKUP(Table1[[#This Row],[sheet]],Prg!$A$7:$J$31,10,FALSE)="","",VLOOKUP(Table1[[#This Row],[sheet]],Prg!$A$7:$J$31,10,FALSE)*1)</f>
        <v>1</v>
      </c>
      <c r="AF773" t="str">
        <f>VLOOKUP(Table1[[#This Row],[sheet]],Prg!$A$7:$J$31,5,FALSE)</f>
        <v>NIGER REP</v>
      </c>
      <c r="AG773">
        <f>ROW()</f>
        <v>773</v>
      </c>
    </row>
    <row r="774" spans="24:33" hidden="1" x14ac:dyDescent="0.25">
      <c r="X774">
        <v>5</v>
      </c>
      <c r="Y774" t="s">
        <v>773</v>
      </c>
      <c r="Z774" t="s">
        <v>190</v>
      </c>
      <c r="AA774" t="str">
        <f>IF(OR(VLOOKUP(Table1[[#This Row],[sheet]],Prg!$A$7:$F$31,6,FALSE)=Prg!$O$2,VLOOKUP(Table1[[#This Row],[sheet]],Prg!$A$7:$F$31,6,FALSE)=Prg!$O$3),"Yes","No")</f>
        <v>Yes</v>
      </c>
      <c r="AB774">
        <v>2023</v>
      </c>
      <c r="AC774">
        <v>16</v>
      </c>
      <c r="AD774">
        <f ca="1">IF(ISERROR(VLOOKUP(Table1[[#This Row],[item]],INDIRECT("'"&amp;Table1[[#This Row],[sheet]]&amp;"'!$A$8:$T$42"),Table1[[#This Row],[r]],FALSE)),"",VLOOKUP(Table1[[#This Row],[item]],INDIRECT("'"&amp;Table1[[#This Row],[sheet]]&amp;"'!$A$8:$T$42"),Table1[[#This Row],[r]],FALSE))</f>
        <v>656507.66381119995</v>
      </c>
      <c r="AE774">
        <f>IF(VLOOKUP(Table1[[#This Row],[sheet]],Prg!$A$7:$J$31,10,FALSE)="","",VLOOKUP(Table1[[#This Row],[sheet]],Prg!$A$7:$J$31,10,FALSE)*1)</f>
        <v>1</v>
      </c>
      <c r="AF774" t="str">
        <f>VLOOKUP(Table1[[#This Row],[sheet]],Prg!$A$7:$J$31,5,FALSE)</f>
        <v>NIGER REP</v>
      </c>
      <c r="AG774">
        <f>ROW()</f>
        <v>774</v>
      </c>
    </row>
    <row r="775" spans="24:33" hidden="1" x14ac:dyDescent="0.25">
      <c r="X775">
        <v>5</v>
      </c>
      <c r="Y775" t="s">
        <v>709</v>
      </c>
      <c r="Z775" t="s">
        <v>192</v>
      </c>
      <c r="AA775" t="str">
        <f>IF(OR(VLOOKUP(Table1[[#This Row],[sheet]],Prg!$A$7:$F$31,6,FALSE)=Prg!$O$2,VLOOKUP(Table1[[#This Row],[sheet]],Prg!$A$7:$F$31,6,FALSE)=Prg!$O$3),"Yes","No")</f>
        <v>Yes</v>
      </c>
      <c r="AB775">
        <v>2023</v>
      </c>
      <c r="AC775">
        <v>16</v>
      </c>
      <c r="AD775">
        <f ca="1">IF(ISERROR(VLOOKUP(Table1[[#This Row],[item]],INDIRECT("'"&amp;Table1[[#This Row],[sheet]]&amp;"'!$A$8:$T$42"),Table1[[#This Row],[r]],FALSE)),"",VLOOKUP(Table1[[#This Row],[item]],INDIRECT("'"&amp;Table1[[#This Row],[sheet]]&amp;"'!$A$8:$T$42"),Table1[[#This Row],[r]],FALSE))</f>
        <v>971.1</v>
      </c>
      <c r="AE775">
        <f>IF(VLOOKUP(Table1[[#This Row],[sheet]],Prg!$A$7:$J$31,10,FALSE)="","",VLOOKUP(Table1[[#This Row],[sheet]],Prg!$A$7:$J$31,10,FALSE)*1)</f>
        <v>1</v>
      </c>
      <c r="AF775" t="str">
        <f>VLOOKUP(Table1[[#This Row],[sheet]],Prg!$A$7:$J$31,5,FALSE)</f>
        <v>NIGER REP</v>
      </c>
      <c r="AG775">
        <f>ROW()</f>
        <v>775</v>
      </c>
    </row>
    <row r="776" spans="24:33" hidden="1" x14ac:dyDescent="0.25">
      <c r="X776">
        <v>5</v>
      </c>
      <c r="Y776" t="s">
        <v>774</v>
      </c>
      <c r="Z776" t="s">
        <v>194</v>
      </c>
      <c r="AA776" t="str">
        <f>IF(OR(VLOOKUP(Table1[[#This Row],[sheet]],Prg!$A$7:$F$31,6,FALSE)=Prg!$O$2,VLOOKUP(Table1[[#This Row],[sheet]],Prg!$A$7:$F$31,6,FALSE)=Prg!$O$3),"Yes","No")</f>
        <v>Yes</v>
      </c>
      <c r="AB776">
        <v>2023</v>
      </c>
      <c r="AC776">
        <v>16</v>
      </c>
      <c r="AD776">
        <f ca="1">IF(ISERROR(VLOOKUP(Table1[[#This Row],[item]],INDIRECT("'"&amp;Table1[[#This Row],[sheet]]&amp;"'!$A$8:$T$42"),Table1[[#This Row],[r]],FALSE)),"",VLOOKUP(Table1[[#This Row],[item]],INDIRECT("'"&amp;Table1[[#This Row],[sheet]]&amp;"'!$A$8:$T$42"),Table1[[#This Row],[r]],FALSE))</f>
        <v>971.1</v>
      </c>
      <c r="AE776">
        <f>IF(VLOOKUP(Table1[[#This Row],[sheet]],Prg!$A$7:$J$31,10,FALSE)="","",VLOOKUP(Table1[[#This Row],[sheet]],Prg!$A$7:$J$31,10,FALSE)*1)</f>
        <v>1</v>
      </c>
      <c r="AF776" t="str">
        <f>VLOOKUP(Table1[[#This Row],[sheet]],Prg!$A$7:$J$31,5,FALSE)</f>
        <v>NIGER REP</v>
      </c>
      <c r="AG776">
        <f>ROW()</f>
        <v>776</v>
      </c>
    </row>
    <row r="777" spans="24:33" hidden="1" x14ac:dyDescent="0.25">
      <c r="X777">
        <v>5</v>
      </c>
      <c r="Y777" t="s">
        <v>775</v>
      </c>
      <c r="Z777" t="s">
        <v>196</v>
      </c>
      <c r="AA777" t="str">
        <f>IF(OR(VLOOKUP(Table1[[#This Row],[sheet]],Prg!$A$7:$F$31,6,FALSE)=Prg!$O$2,VLOOKUP(Table1[[#This Row],[sheet]],Prg!$A$7:$F$31,6,FALSE)=Prg!$O$3),"Yes","No")</f>
        <v>Yes</v>
      </c>
      <c r="AB777">
        <v>2023</v>
      </c>
      <c r="AC777">
        <v>16</v>
      </c>
      <c r="AD777">
        <f ca="1">IF(ISERROR(VLOOKUP(Table1[[#This Row],[item]],INDIRECT("'"&amp;Table1[[#This Row],[sheet]]&amp;"'!$A$8:$T$42"),Table1[[#This Row],[r]],FALSE)),"",VLOOKUP(Table1[[#This Row],[item]],INDIRECT("'"&amp;Table1[[#This Row],[sheet]]&amp;"'!$A$8:$T$42"),Table1[[#This Row],[r]],FALSE))</f>
        <v>0</v>
      </c>
      <c r="AE777">
        <f>IF(VLOOKUP(Table1[[#This Row],[sheet]],Prg!$A$7:$J$31,10,FALSE)="","",VLOOKUP(Table1[[#This Row],[sheet]],Prg!$A$7:$J$31,10,FALSE)*1)</f>
        <v>1</v>
      </c>
      <c r="AF777" t="str">
        <f>VLOOKUP(Table1[[#This Row],[sheet]],Prg!$A$7:$J$31,5,FALSE)</f>
        <v>NIGER REP</v>
      </c>
      <c r="AG777">
        <f>ROW()</f>
        <v>777</v>
      </c>
    </row>
    <row r="778" spans="24:33" hidden="1" x14ac:dyDescent="0.25">
      <c r="X778">
        <v>5</v>
      </c>
      <c r="Y778" t="s">
        <v>776</v>
      </c>
      <c r="Z778" t="s">
        <v>605</v>
      </c>
      <c r="AA778" t="str">
        <f>IF(OR(VLOOKUP(Table1[[#This Row],[sheet]],Prg!$A$7:$F$31,6,FALSE)=Prg!$O$2,VLOOKUP(Table1[[#This Row],[sheet]],Prg!$A$7:$F$31,6,FALSE)=Prg!$O$3),"Yes","No")</f>
        <v>Yes</v>
      </c>
      <c r="AB778">
        <v>2023</v>
      </c>
      <c r="AC778">
        <v>16</v>
      </c>
      <c r="AD778">
        <f ca="1">IF(ISERROR(VLOOKUP(Table1[[#This Row],[item]],INDIRECT("'"&amp;Table1[[#This Row],[sheet]]&amp;"'!$A$8:$T$42"),Table1[[#This Row],[r]],FALSE)),"",VLOOKUP(Table1[[#This Row],[item]],INDIRECT("'"&amp;Table1[[#This Row],[sheet]]&amp;"'!$A$8:$T$42"),Table1[[#This Row],[r]],FALSE))</f>
        <v>0</v>
      </c>
      <c r="AE778">
        <f>IF(VLOOKUP(Table1[[#This Row],[sheet]],Prg!$A$7:$J$31,10,FALSE)="","",VLOOKUP(Table1[[#This Row],[sheet]],Prg!$A$7:$J$31,10,FALSE)*1)</f>
        <v>1</v>
      </c>
      <c r="AF778" t="str">
        <f>VLOOKUP(Table1[[#This Row],[sheet]],Prg!$A$7:$J$31,5,FALSE)</f>
        <v>NIGER REP</v>
      </c>
      <c r="AG778">
        <f>ROW()</f>
        <v>778</v>
      </c>
    </row>
    <row r="779" spans="24:33" hidden="1" x14ac:dyDescent="0.25">
      <c r="X779">
        <v>5</v>
      </c>
      <c r="Y779" t="s">
        <v>711</v>
      </c>
      <c r="Z779" t="s">
        <v>200</v>
      </c>
      <c r="AA779" t="str">
        <f>IF(OR(VLOOKUP(Table1[[#This Row],[sheet]],Prg!$A$7:$F$31,6,FALSE)=Prg!$O$2,VLOOKUP(Table1[[#This Row],[sheet]],Prg!$A$7:$F$31,6,FALSE)=Prg!$O$3),"Yes","No")</f>
        <v>Yes</v>
      </c>
      <c r="AB779">
        <v>2023</v>
      </c>
      <c r="AC779">
        <v>16</v>
      </c>
      <c r="AD779">
        <f ca="1">IF(ISERROR(VLOOKUP(Table1[[#This Row],[item]],INDIRECT("'"&amp;Table1[[#This Row],[sheet]]&amp;"'!$A$8:$T$42"),Table1[[#This Row],[r]],FALSE)),"",VLOOKUP(Table1[[#This Row],[item]],INDIRECT("'"&amp;Table1[[#This Row],[sheet]]&amp;"'!$A$8:$T$42"),Table1[[#This Row],[r]],FALSE))</f>
        <v>411068.22</v>
      </c>
      <c r="AE779">
        <f>IF(VLOOKUP(Table1[[#This Row],[sheet]],Prg!$A$7:$J$31,10,FALSE)="","",VLOOKUP(Table1[[#This Row],[sheet]],Prg!$A$7:$J$31,10,FALSE)*1)</f>
        <v>1</v>
      </c>
      <c r="AF779" t="str">
        <f>VLOOKUP(Table1[[#This Row],[sheet]],Prg!$A$7:$J$31,5,FALSE)</f>
        <v>NIGER REP</v>
      </c>
      <c r="AG779">
        <f>ROW()</f>
        <v>779</v>
      </c>
    </row>
    <row r="780" spans="24:33" hidden="1" x14ac:dyDescent="0.25">
      <c r="X780">
        <v>5</v>
      </c>
      <c r="Y780" t="s">
        <v>777</v>
      </c>
      <c r="Z780" t="s">
        <v>202</v>
      </c>
      <c r="AA780" t="str">
        <f>IF(OR(VLOOKUP(Table1[[#This Row],[sheet]],Prg!$A$7:$F$31,6,FALSE)=Prg!$O$2,VLOOKUP(Table1[[#This Row],[sheet]],Prg!$A$7:$F$31,6,FALSE)=Prg!$O$3),"Yes","No")</f>
        <v>Yes</v>
      </c>
      <c r="AB780">
        <v>2023</v>
      </c>
      <c r="AC780">
        <v>16</v>
      </c>
      <c r="AD780">
        <f ca="1">IF(ISERROR(VLOOKUP(Table1[[#This Row],[item]],INDIRECT("'"&amp;Table1[[#This Row],[sheet]]&amp;"'!$A$8:$T$42"),Table1[[#This Row],[r]],FALSE)),"",VLOOKUP(Table1[[#This Row],[item]],INDIRECT("'"&amp;Table1[[#This Row],[sheet]]&amp;"'!$A$8:$T$42"),Table1[[#This Row],[r]],FALSE))</f>
        <v>32166.48</v>
      </c>
      <c r="AE780">
        <f>IF(VLOOKUP(Table1[[#This Row],[sheet]],Prg!$A$7:$J$31,10,FALSE)="","",VLOOKUP(Table1[[#This Row],[sheet]],Prg!$A$7:$J$31,10,FALSE)*1)</f>
        <v>1</v>
      </c>
      <c r="AF780" t="str">
        <f>VLOOKUP(Table1[[#This Row],[sheet]],Prg!$A$7:$J$31,5,FALSE)</f>
        <v>NIGER REP</v>
      </c>
      <c r="AG780">
        <f>ROW()</f>
        <v>780</v>
      </c>
    </row>
    <row r="781" spans="24:33" hidden="1" x14ac:dyDescent="0.25">
      <c r="X781">
        <v>5</v>
      </c>
      <c r="Y781" t="s">
        <v>778</v>
      </c>
      <c r="Z781" t="s">
        <v>204</v>
      </c>
      <c r="AA781" t="str">
        <f>IF(OR(VLOOKUP(Table1[[#This Row],[sheet]],Prg!$A$7:$F$31,6,FALSE)=Prg!$O$2,VLOOKUP(Table1[[#This Row],[sheet]],Prg!$A$7:$F$31,6,FALSE)=Prg!$O$3),"Yes","No")</f>
        <v>Yes</v>
      </c>
      <c r="AB781">
        <v>2023</v>
      </c>
      <c r="AC781">
        <v>16</v>
      </c>
      <c r="AD781">
        <f ca="1">IF(ISERROR(VLOOKUP(Table1[[#This Row],[item]],INDIRECT("'"&amp;Table1[[#This Row],[sheet]]&amp;"'!$A$8:$T$42"),Table1[[#This Row],[r]],FALSE)),"",VLOOKUP(Table1[[#This Row],[item]],INDIRECT("'"&amp;Table1[[#This Row],[sheet]]&amp;"'!$A$8:$T$42"),Table1[[#This Row],[r]],FALSE))</f>
        <v>8964.2999999999993</v>
      </c>
      <c r="AE781">
        <f>IF(VLOOKUP(Table1[[#This Row],[sheet]],Prg!$A$7:$J$31,10,FALSE)="","",VLOOKUP(Table1[[#This Row],[sheet]],Prg!$A$7:$J$31,10,FALSE)*1)</f>
        <v>1</v>
      </c>
      <c r="AF781" t="str">
        <f>VLOOKUP(Table1[[#This Row],[sheet]],Prg!$A$7:$J$31,5,FALSE)</f>
        <v>NIGER REP</v>
      </c>
      <c r="AG781">
        <f>ROW()</f>
        <v>781</v>
      </c>
    </row>
    <row r="782" spans="24:33" hidden="1" x14ac:dyDescent="0.25">
      <c r="X782">
        <v>5</v>
      </c>
      <c r="Y782" t="s">
        <v>779</v>
      </c>
      <c r="Z782" t="s">
        <v>605</v>
      </c>
      <c r="AA782" t="str">
        <f>IF(OR(VLOOKUP(Table1[[#This Row],[sheet]],Prg!$A$7:$F$31,6,FALSE)=Prg!$O$2,VLOOKUP(Table1[[#This Row],[sheet]],Prg!$A$7:$F$31,6,FALSE)=Prg!$O$3),"Yes","No")</f>
        <v>Yes</v>
      </c>
      <c r="AB782">
        <v>2023</v>
      </c>
      <c r="AC782">
        <v>16</v>
      </c>
      <c r="AD782">
        <f ca="1">IF(ISERROR(VLOOKUP(Table1[[#This Row],[item]],INDIRECT("'"&amp;Table1[[#This Row],[sheet]]&amp;"'!$A$8:$T$42"),Table1[[#This Row],[r]],FALSE)),"",VLOOKUP(Table1[[#This Row],[item]],INDIRECT("'"&amp;Table1[[#This Row],[sheet]]&amp;"'!$A$8:$T$42"),Table1[[#This Row],[r]],FALSE))</f>
        <v>369937.44</v>
      </c>
      <c r="AE782">
        <f>IF(VLOOKUP(Table1[[#This Row],[sheet]],Prg!$A$7:$J$31,10,FALSE)="","",VLOOKUP(Table1[[#This Row],[sheet]],Prg!$A$7:$J$31,10,FALSE)*1)</f>
        <v>1</v>
      </c>
      <c r="AF782" t="str">
        <f>VLOOKUP(Table1[[#This Row],[sheet]],Prg!$A$7:$J$31,5,FALSE)</f>
        <v>NIGER REP</v>
      </c>
      <c r="AG782">
        <f>ROW()</f>
        <v>782</v>
      </c>
    </row>
    <row r="783" spans="24:33" hidden="1" x14ac:dyDescent="0.25">
      <c r="X783">
        <v>5</v>
      </c>
      <c r="Y783" t="s">
        <v>712</v>
      </c>
      <c r="Z783" t="s">
        <v>780</v>
      </c>
      <c r="AA783" t="str">
        <f>IF(OR(VLOOKUP(Table1[[#This Row],[sheet]],Prg!$A$7:$F$31,6,FALSE)=Prg!$O$2,VLOOKUP(Table1[[#This Row],[sheet]],Prg!$A$7:$F$31,6,FALSE)=Prg!$O$3),"Yes","No")</f>
        <v>Yes</v>
      </c>
      <c r="AB783">
        <v>2023</v>
      </c>
      <c r="AC783">
        <v>16</v>
      </c>
      <c r="AD783">
        <f ca="1">IF(ISERROR(VLOOKUP(Table1[[#This Row],[item]],INDIRECT("'"&amp;Table1[[#This Row],[sheet]]&amp;"'!$A$8:$T$42"),Table1[[#This Row],[r]],FALSE)),"",VLOOKUP(Table1[[#This Row],[item]],INDIRECT("'"&amp;Table1[[#This Row],[sheet]]&amp;"'!$A$8:$T$42"),Table1[[#This Row],[r]],FALSE))</f>
        <v>244468.3438112</v>
      </c>
      <c r="AE783">
        <f>IF(VLOOKUP(Table1[[#This Row],[sheet]],Prg!$A$7:$J$31,10,FALSE)="","",VLOOKUP(Table1[[#This Row],[sheet]],Prg!$A$7:$J$31,10,FALSE)*1)</f>
        <v>1</v>
      </c>
      <c r="AF783" t="str">
        <f>VLOOKUP(Table1[[#This Row],[sheet]],Prg!$A$7:$J$31,5,FALSE)</f>
        <v>NIGER REP</v>
      </c>
      <c r="AG783">
        <f>ROW()</f>
        <v>783</v>
      </c>
    </row>
    <row r="784" spans="24:33" hidden="1" x14ac:dyDescent="0.25">
      <c r="X784">
        <v>5</v>
      </c>
      <c r="Y784" t="s">
        <v>781</v>
      </c>
      <c r="Z784" t="s">
        <v>782</v>
      </c>
      <c r="AA784" t="str">
        <f>IF(OR(VLOOKUP(Table1[[#This Row],[sheet]],Prg!$A$7:$F$31,6,FALSE)=Prg!$O$2,VLOOKUP(Table1[[#This Row],[sheet]],Prg!$A$7:$F$31,6,FALSE)=Prg!$O$3),"Yes","No")</f>
        <v>Yes</v>
      </c>
      <c r="AB784">
        <v>2023</v>
      </c>
      <c r="AC784">
        <v>16</v>
      </c>
      <c r="AD784">
        <f ca="1">IF(ISERROR(VLOOKUP(Table1[[#This Row],[item]],INDIRECT("'"&amp;Table1[[#This Row],[sheet]]&amp;"'!$A$8:$T$42"),Table1[[#This Row],[r]],FALSE)),"",VLOOKUP(Table1[[#This Row],[item]],INDIRECT("'"&amp;Table1[[#This Row],[sheet]]&amp;"'!$A$8:$T$42"),Table1[[#This Row],[r]],FALSE))</f>
        <v>0</v>
      </c>
      <c r="AE784">
        <f>IF(VLOOKUP(Table1[[#This Row],[sheet]],Prg!$A$7:$J$31,10,FALSE)="","",VLOOKUP(Table1[[#This Row],[sheet]],Prg!$A$7:$J$31,10,FALSE)*1)</f>
        <v>1</v>
      </c>
      <c r="AF784" t="str">
        <f>VLOOKUP(Table1[[#This Row],[sheet]],Prg!$A$7:$J$31,5,FALSE)</f>
        <v>NIGER REP</v>
      </c>
      <c r="AG784">
        <f>ROW()</f>
        <v>784</v>
      </c>
    </row>
    <row r="785" spans="24:33" hidden="1" x14ac:dyDescent="0.25">
      <c r="X785">
        <v>5</v>
      </c>
      <c r="Y785" t="s">
        <v>783</v>
      </c>
      <c r="Z785" t="s">
        <v>784</v>
      </c>
      <c r="AA785" t="str">
        <f>IF(OR(VLOOKUP(Table1[[#This Row],[sheet]],Prg!$A$7:$F$31,6,FALSE)=Prg!$O$2,VLOOKUP(Table1[[#This Row],[sheet]],Prg!$A$7:$F$31,6,FALSE)=Prg!$O$3),"Yes","No")</f>
        <v>Yes</v>
      </c>
      <c r="AB785">
        <v>2023</v>
      </c>
      <c r="AC785">
        <v>16</v>
      </c>
      <c r="AD785">
        <f ca="1">IF(ISERROR(VLOOKUP(Table1[[#This Row],[item]],INDIRECT("'"&amp;Table1[[#This Row],[sheet]]&amp;"'!$A$8:$T$42"),Table1[[#This Row],[r]],FALSE)),"",VLOOKUP(Table1[[#This Row],[item]],INDIRECT("'"&amp;Table1[[#This Row],[sheet]]&amp;"'!$A$8:$T$42"),Table1[[#This Row],[r]],FALSE))</f>
        <v>0</v>
      </c>
      <c r="AE785">
        <f>IF(VLOOKUP(Table1[[#This Row],[sheet]],Prg!$A$7:$J$31,10,FALSE)="","",VLOOKUP(Table1[[#This Row],[sheet]],Prg!$A$7:$J$31,10,FALSE)*1)</f>
        <v>1</v>
      </c>
      <c r="AF785" t="str">
        <f>VLOOKUP(Table1[[#This Row],[sheet]],Prg!$A$7:$J$31,5,FALSE)</f>
        <v>NIGER REP</v>
      </c>
      <c r="AG785">
        <f>ROW()</f>
        <v>785</v>
      </c>
    </row>
    <row r="786" spans="24:33" hidden="1" x14ac:dyDescent="0.25">
      <c r="X786">
        <v>5</v>
      </c>
      <c r="Y786" t="s">
        <v>785</v>
      </c>
      <c r="Z786" t="s">
        <v>786</v>
      </c>
      <c r="AA786" t="str">
        <f>IF(OR(VLOOKUP(Table1[[#This Row],[sheet]],Prg!$A$7:$F$31,6,FALSE)=Prg!$O$2,VLOOKUP(Table1[[#This Row],[sheet]],Prg!$A$7:$F$31,6,FALSE)=Prg!$O$3),"Yes","No")</f>
        <v>Yes</v>
      </c>
      <c r="AB786">
        <v>2023</v>
      </c>
      <c r="AC786">
        <v>16</v>
      </c>
      <c r="AD786">
        <f ca="1">IF(ISERROR(VLOOKUP(Table1[[#This Row],[item]],INDIRECT("'"&amp;Table1[[#This Row],[sheet]]&amp;"'!$A$8:$T$42"),Table1[[#This Row],[r]],FALSE)),"",VLOOKUP(Table1[[#This Row],[item]],INDIRECT("'"&amp;Table1[[#This Row],[sheet]]&amp;"'!$A$8:$T$42"),Table1[[#This Row],[r]],FALSE))</f>
        <v>244468.3438112</v>
      </c>
      <c r="AE786">
        <f>IF(VLOOKUP(Table1[[#This Row],[sheet]],Prg!$A$7:$J$31,10,FALSE)="","",VLOOKUP(Table1[[#This Row],[sheet]],Prg!$A$7:$J$31,10,FALSE)*1)</f>
        <v>1</v>
      </c>
      <c r="AF786" t="str">
        <f>VLOOKUP(Table1[[#This Row],[sheet]],Prg!$A$7:$J$31,5,FALSE)</f>
        <v>NIGER REP</v>
      </c>
      <c r="AG786">
        <f>ROW()</f>
        <v>786</v>
      </c>
    </row>
    <row r="787" spans="24:33" hidden="1" x14ac:dyDescent="0.25">
      <c r="X787">
        <v>5</v>
      </c>
      <c r="Y787" t="s">
        <v>787</v>
      </c>
      <c r="Z787" t="s">
        <v>633</v>
      </c>
      <c r="AA787" t="str">
        <f>IF(OR(VLOOKUP(Table1[[#This Row],[sheet]],Prg!$A$7:$F$31,6,FALSE)=Prg!$O$2,VLOOKUP(Table1[[#This Row],[sheet]],Prg!$A$7:$F$31,6,FALSE)=Prg!$O$3),"Yes","No")</f>
        <v>Yes</v>
      </c>
      <c r="AB787">
        <v>2023</v>
      </c>
      <c r="AC787">
        <v>16</v>
      </c>
      <c r="AD787">
        <f ca="1">IF(ISERROR(VLOOKUP(Table1[[#This Row],[item]],INDIRECT("'"&amp;Table1[[#This Row],[sheet]]&amp;"'!$A$8:$T$42"),Table1[[#This Row],[r]],FALSE)),"",VLOOKUP(Table1[[#This Row],[item]],INDIRECT("'"&amp;Table1[[#This Row],[sheet]]&amp;"'!$A$8:$T$42"),Table1[[#This Row],[r]],FALSE))</f>
        <v>0</v>
      </c>
      <c r="AE787">
        <f>IF(VLOOKUP(Table1[[#This Row],[sheet]],Prg!$A$7:$J$31,10,FALSE)="","",VLOOKUP(Table1[[#This Row],[sheet]],Prg!$A$7:$J$31,10,FALSE)*1)</f>
        <v>1</v>
      </c>
      <c r="AF787" t="str">
        <f>VLOOKUP(Table1[[#This Row],[sheet]],Prg!$A$7:$J$31,5,FALSE)</f>
        <v>NIGER REP</v>
      </c>
      <c r="AG787">
        <f>ROW()</f>
        <v>787</v>
      </c>
    </row>
    <row r="788" spans="24:33" hidden="1" x14ac:dyDescent="0.25">
      <c r="X788">
        <v>5</v>
      </c>
      <c r="Y788" s="53" t="s">
        <v>753</v>
      </c>
      <c r="Z788" s="53" t="s">
        <v>162</v>
      </c>
      <c r="AA788" s="53" t="str">
        <f>IF(OR(VLOOKUP(Table1[[#This Row],[sheet]],Prg!$A$7:$F$31,6,FALSE)=Prg!$O$2,VLOOKUP(Table1[[#This Row],[sheet]],Prg!$A$7:$F$31,6,FALSE)=Prg!$O$3),"Yes","No")</f>
        <v>Yes</v>
      </c>
      <c r="AB788" s="53">
        <v>2024</v>
      </c>
      <c r="AC788">
        <v>17</v>
      </c>
      <c r="AD788">
        <f ca="1">IF(ISERROR(VLOOKUP(Table1[[#This Row],[item]],INDIRECT("'"&amp;Table1[[#This Row],[sheet]]&amp;"'!$A$8:$T$42"),Table1[[#This Row],[r]],FALSE)),"",VLOOKUP(Table1[[#This Row],[item]],INDIRECT("'"&amp;Table1[[#This Row],[sheet]]&amp;"'!$A$8:$T$42"),Table1[[#This Row],[r]],FALSE))</f>
        <v>307432.32000000001</v>
      </c>
      <c r="AE788">
        <f>IF(VLOOKUP(Table1[[#This Row],[sheet]],Prg!$A$7:$J$31,10,FALSE)="","",VLOOKUP(Table1[[#This Row],[sheet]],Prg!$A$7:$J$31,10,FALSE)*1)</f>
        <v>1</v>
      </c>
      <c r="AF788" t="str">
        <f>VLOOKUP(Table1[[#This Row],[sheet]],Prg!$A$7:$J$31,5,FALSE)</f>
        <v>NIGER REP</v>
      </c>
      <c r="AG788">
        <f>ROW()</f>
        <v>788</v>
      </c>
    </row>
    <row r="789" spans="24:33" hidden="1" x14ac:dyDescent="0.25">
      <c r="X789">
        <v>5</v>
      </c>
      <c r="Y789" t="s">
        <v>754</v>
      </c>
      <c r="Z789" t="s">
        <v>164</v>
      </c>
      <c r="AA789" t="str">
        <f>IF(OR(VLOOKUP(Table1[[#This Row],[sheet]],Prg!$A$7:$F$31,6,FALSE)=Prg!$O$2,VLOOKUP(Table1[[#This Row],[sheet]],Prg!$A$7:$F$31,6,FALSE)=Prg!$O$3),"Yes","No")</f>
        <v>Yes</v>
      </c>
      <c r="AB789">
        <v>2024</v>
      </c>
      <c r="AC789">
        <v>17</v>
      </c>
      <c r="AD789">
        <f ca="1">IF(ISERROR(VLOOKUP(Table1[[#This Row],[item]],INDIRECT("'"&amp;Table1[[#This Row],[sheet]]&amp;"'!$A$8:$T$42"),Table1[[#This Row],[r]],FALSE)),"",VLOOKUP(Table1[[#This Row],[item]],INDIRECT("'"&amp;Table1[[#This Row],[sheet]]&amp;"'!$A$8:$T$42"),Table1[[#This Row],[r]],FALSE))</f>
        <v>0</v>
      </c>
      <c r="AE789">
        <f>IF(VLOOKUP(Table1[[#This Row],[sheet]],Prg!$A$7:$J$31,10,FALSE)="","",VLOOKUP(Table1[[#This Row],[sheet]],Prg!$A$7:$J$31,10,FALSE)*1)</f>
        <v>1</v>
      </c>
      <c r="AF789" t="str">
        <f>VLOOKUP(Table1[[#This Row],[sheet]],Prg!$A$7:$J$31,5,FALSE)</f>
        <v>NIGER REP</v>
      </c>
      <c r="AG789">
        <f>ROW()</f>
        <v>789</v>
      </c>
    </row>
    <row r="790" spans="24:33" hidden="1" x14ac:dyDescent="0.25">
      <c r="X790">
        <v>5</v>
      </c>
      <c r="Y790" t="s">
        <v>755</v>
      </c>
      <c r="Z790" t="s">
        <v>166</v>
      </c>
      <c r="AA790" t="str">
        <f>IF(OR(VLOOKUP(Table1[[#This Row],[sheet]],Prg!$A$7:$F$31,6,FALSE)=Prg!$O$2,VLOOKUP(Table1[[#This Row],[sheet]],Prg!$A$7:$F$31,6,FALSE)=Prg!$O$3),"Yes","No")</f>
        <v>Yes</v>
      </c>
      <c r="AB790">
        <v>2024</v>
      </c>
      <c r="AC790">
        <v>17</v>
      </c>
      <c r="AD790">
        <f ca="1">IF(ISERROR(VLOOKUP(Table1[[#This Row],[item]],INDIRECT("'"&amp;Table1[[#This Row],[sheet]]&amp;"'!$A$8:$T$42"),Table1[[#This Row],[r]],FALSE)),"",VLOOKUP(Table1[[#This Row],[item]],INDIRECT("'"&amp;Table1[[#This Row],[sheet]]&amp;"'!$A$8:$T$42"),Table1[[#This Row],[r]],FALSE))</f>
        <v>224565.12000000002</v>
      </c>
      <c r="AE790">
        <f>IF(VLOOKUP(Table1[[#This Row],[sheet]],Prg!$A$7:$J$31,10,FALSE)="","",VLOOKUP(Table1[[#This Row],[sheet]],Prg!$A$7:$J$31,10,FALSE)*1)</f>
        <v>1</v>
      </c>
      <c r="AF790" t="str">
        <f>VLOOKUP(Table1[[#This Row],[sheet]],Prg!$A$7:$J$31,5,FALSE)</f>
        <v>NIGER REP</v>
      </c>
      <c r="AG790">
        <f>ROW()</f>
        <v>790</v>
      </c>
    </row>
    <row r="791" spans="24:33" hidden="1" x14ac:dyDescent="0.25">
      <c r="X791">
        <v>5</v>
      </c>
      <c r="Y791" t="s">
        <v>756</v>
      </c>
      <c r="Z791" t="s">
        <v>757</v>
      </c>
      <c r="AA791" t="str">
        <f>IF(OR(VLOOKUP(Table1[[#This Row],[sheet]],Prg!$A$7:$F$31,6,FALSE)=Prg!$O$2,VLOOKUP(Table1[[#This Row],[sheet]],Prg!$A$7:$F$31,6,FALSE)=Prg!$O$3),"Yes","No")</f>
        <v>Yes</v>
      </c>
      <c r="AB791">
        <v>2024</v>
      </c>
      <c r="AC791">
        <v>17</v>
      </c>
      <c r="AD791">
        <f ca="1">IF(ISERROR(VLOOKUP(Table1[[#This Row],[item]],INDIRECT("'"&amp;Table1[[#This Row],[sheet]]&amp;"'!$A$8:$T$42"),Table1[[#This Row],[r]],FALSE)),"",VLOOKUP(Table1[[#This Row],[item]],INDIRECT("'"&amp;Table1[[#This Row],[sheet]]&amp;"'!$A$8:$T$42"),Table1[[#This Row],[r]],FALSE))</f>
        <v>82867.199999999997</v>
      </c>
      <c r="AE791">
        <f>IF(VLOOKUP(Table1[[#This Row],[sheet]],Prg!$A$7:$J$31,10,FALSE)="","",VLOOKUP(Table1[[#This Row],[sheet]],Prg!$A$7:$J$31,10,FALSE)*1)</f>
        <v>1</v>
      </c>
      <c r="AF791" t="str">
        <f>VLOOKUP(Table1[[#This Row],[sheet]],Prg!$A$7:$J$31,5,FALSE)</f>
        <v>NIGER REP</v>
      </c>
      <c r="AG791">
        <f>ROW()</f>
        <v>791</v>
      </c>
    </row>
    <row r="792" spans="24:33" hidden="1" x14ac:dyDescent="0.25">
      <c r="X792">
        <v>5</v>
      </c>
      <c r="Y792" t="s">
        <v>758</v>
      </c>
      <c r="Z792" t="s">
        <v>170</v>
      </c>
      <c r="AA792" t="str">
        <f>IF(OR(VLOOKUP(Table1[[#This Row],[sheet]],Prg!$A$7:$F$31,6,FALSE)=Prg!$O$2,VLOOKUP(Table1[[#This Row],[sheet]],Prg!$A$7:$F$31,6,FALSE)=Prg!$O$3),"Yes","No")</f>
        <v>Yes</v>
      </c>
      <c r="AB792">
        <v>2024</v>
      </c>
      <c r="AC792">
        <v>17</v>
      </c>
      <c r="AD792">
        <f ca="1">IF(ISERROR(VLOOKUP(Table1[[#This Row],[item]],INDIRECT("'"&amp;Table1[[#This Row],[sheet]]&amp;"'!$A$8:$T$42"),Table1[[#This Row],[r]],FALSE)),"",VLOOKUP(Table1[[#This Row],[item]],INDIRECT("'"&amp;Table1[[#This Row],[sheet]]&amp;"'!$A$8:$T$42"),Table1[[#This Row],[r]],FALSE))</f>
        <v>30489.800000000003</v>
      </c>
      <c r="AE792">
        <f>IF(VLOOKUP(Table1[[#This Row],[sheet]],Prg!$A$7:$J$31,10,FALSE)="","",VLOOKUP(Table1[[#This Row],[sheet]],Prg!$A$7:$J$31,10,FALSE)*1)</f>
        <v>1</v>
      </c>
      <c r="AF792" t="str">
        <f>VLOOKUP(Table1[[#This Row],[sheet]],Prg!$A$7:$J$31,5,FALSE)</f>
        <v>NIGER REP</v>
      </c>
      <c r="AG792">
        <f>ROW()</f>
        <v>792</v>
      </c>
    </row>
    <row r="793" spans="24:33" hidden="1" x14ac:dyDescent="0.25">
      <c r="X793">
        <v>5</v>
      </c>
      <c r="Y793" t="s">
        <v>759</v>
      </c>
      <c r="Z793" t="s">
        <v>172</v>
      </c>
      <c r="AA793" t="str">
        <f>IF(OR(VLOOKUP(Table1[[#This Row],[sheet]],Prg!$A$7:$F$31,6,FALSE)=Prg!$O$2,VLOOKUP(Table1[[#This Row],[sheet]],Prg!$A$7:$F$31,6,FALSE)=Prg!$O$3),"Yes","No")</f>
        <v>Yes</v>
      </c>
      <c r="AB793">
        <v>2024</v>
      </c>
      <c r="AC793">
        <v>17</v>
      </c>
      <c r="AD793">
        <f ca="1">IF(ISERROR(VLOOKUP(Table1[[#This Row],[item]],INDIRECT("'"&amp;Table1[[#This Row],[sheet]]&amp;"'!$A$8:$T$42"),Table1[[#This Row],[r]],FALSE)),"",VLOOKUP(Table1[[#This Row],[item]],INDIRECT("'"&amp;Table1[[#This Row],[sheet]]&amp;"'!$A$8:$T$42"),Table1[[#This Row],[r]],FALSE))</f>
        <v>0</v>
      </c>
      <c r="AE793">
        <f>IF(VLOOKUP(Table1[[#This Row],[sheet]],Prg!$A$7:$J$31,10,FALSE)="","",VLOOKUP(Table1[[#This Row],[sheet]],Prg!$A$7:$J$31,10,FALSE)*1)</f>
        <v>1</v>
      </c>
      <c r="AF793" t="str">
        <f>VLOOKUP(Table1[[#This Row],[sheet]],Prg!$A$7:$J$31,5,FALSE)</f>
        <v>NIGER REP</v>
      </c>
      <c r="AG793">
        <f>ROW()</f>
        <v>793</v>
      </c>
    </row>
    <row r="794" spans="24:33" hidden="1" x14ac:dyDescent="0.25">
      <c r="X794">
        <v>5</v>
      </c>
      <c r="Y794" t="s">
        <v>760</v>
      </c>
      <c r="Z794" t="s">
        <v>174</v>
      </c>
      <c r="AA794" t="str">
        <f>IF(OR(VLOOKUP(Table1[[#This Row],[sheet]],Prg!$A$7:$F$31,6,FALSE)=Prg!$O$2,VLOOKUP(Table1[[#This Row],[sheet]],Prg!$A$7:$F$31,6,FALSE)=Prg!$O$3),"Yes","No")</f>
        <v>Yes</v>
      </c>
      <c r="AB794">
        <v>2024</v>
      </c>
      <c r="AC794">
        <v>17</v>
      </c>
      <c r="AD794">
        <f ca="1">IF(ISERROR(VLOOKUP(Table1[[#This Row],[item]],INDIRECT("'"&amp;Table1[[#This Row],[sheet]]&amp;"'!$A$8:$T$42"),Table1[[#This Row],[r]],FALSE)),"",VLOOKUP(Table1[[#This Row],[item]],INDIRECT("'"&amp;Table1[[#This Row],[sheet]]&amp;"'!$A$8:$T$42"),Table1[[#This Row],[r]],FALSE))</f>
        <v>30489.800000000003</v>
      </c>
      <c r="AE794">
        <f>IF(VLOOKUP(Table1[[#This Row],[sheet]],Prg!$A$7:$J$31,10,FALSE)="","",VLOOKUP(Table1[[#This Row],[sheet]],Prg!$A$7:$J$31,10,FALSE)*1)</f>
        <v>1</v>
      </c>
      <c r="AF794" t="str">
        <f>VLOOKUP(Table1[[#This Row],[sheet]],Prg!$A$7:$J$31,5,FALSE)</f>
        <v>NIGER REP</v>
      </c>
      <c r="AG794">
        <f>ROW()</f>
        <v>794</v>
      </c>
    </row>
    <row r="795" spans="24:33" hidden="1" x14ac:dyDescent="0.25">
      <c r="X795">
        <v>5</v>
      </c>
      <c r="Y795" t="s">
        <v>761</v>
      </c>
      <c r="Z795" t="s">
        <v>762</v>
      </c>
      <c r="AA795" t="str">
        <f>IF(OR(VLOOKUP(Table1[[#This Row],[sheet]],Prg!$A$7:$F$31,6,FALSE)=Prg!$O$2,VLOOKUP(Table1[[#This Row],[sheet]],Prg!$A$7:$F$31,6,FALSE)=Prg!$O$3),"Yes","No")</f>
        <v>Yes</v>
      </c>
      <c r="AB795">
        <v>2024</v>
      </c>
      <c r="AC795">
        <v>17</v>
      </c>
      <c r="AD795">
        <f ca="1">IF(ISERROR(VLOOKUP(Table1[[#This Row],[item]],INDIRECT("'"&amp;Table1[[#This Row],[sheet]]&amp;"'!$A$8:$T$42"),Table1[[#This Row],[r]],FALSE)),"",VLOOKUP(Table1[[#This Row],[item]],INDIRECT("'"&amp;Table1[[#This Row],[sheet]]&amp;"'!$A$8:$T$42"),Table1[[#This Row],[r]],FALSE))</f>
        <v>0</v>
      </c>
      <c r="AE795">
        <f>IF(VLOOKUP(Table1[[#This Row],[sheet]],Prg!$A$7:$J$31,10,FALSE)="","",VLOOKUP(Table1[[#This Row],[sheet]],Prg!$A$7:$J$31,10,FALSE)*1)</f>
        <v>1</v>
      </c>
      <c r="AF795" t="str">
        <f>VLOOKUP(Table1[[#This Row],[sheet]],Prg!$A$7:$J$31,5,FALSE)</f>
        <v>NIGER REP</v>
      </c>
      <c r="AG795">
        <f>ROW()</f>
        <v>795</v>
      </c>
    </row>
    <row r="796" spans="24:33" hidden="1" x14ac:dyDescent="0.25">
      <c r="X796">
        <v>5</v>
      </c>
      <c r="Y796" t="s">
        <v>763</v>
      </c>
      <c r="Z796" t="s">
        <v>178</v>
      </c>
      <c r="AA796" t="str">
        <f>IF(OR(VLOOKUP(Table1[[#This Row],[sheet]],Prg!$A$7:$F$31,6,FALSE)=Prg!$O$2,VLOOKUP(Table1[[#This Row],[sheet]],Prg!$A$7:$F$31,6,FALSE)=Prg!$O$3),"Yes","No")</f>
        <v>Yes</v>
      </c>
      <c r="AB796">
        <v>2024</v>
      </c>
      <c r="AC796">
        <v>17</v>
      </c>
      <c r="AD796">
        <f ca="1">IF(ISERROR(VLOOKUP(Table1[[#This Row],[item]],INDIRECT("'"&amp;Table1[[#This Row],[sheet]]&amp;"'!$A$8:$T$42"),Table1[[#This Row],[r]],FALSE)),"",VLOOKUP(Table1[[#This Row],[item]],INDIRECT("'"&amp;Table1[[#This Row],[sheet]]&amp;"'!$A$8:$T$42"),Table1[[#This Row],[r]],FALSE))</f>
        <v>139851.10999999999</v>
      </c>
      <c r="AE796">
        <f>IF(VLOOKUP(Table1[[#This Row],[sheet]],Prg!$A$7:$J$31,10,FALSE)="","",VLOOKUP(Table1[[#This Row],[sheet]],Prg!$A$7:$J$31,10,FALSE)*1)</f>
        <v>1</v>
      </c>
      <c r="AF796" t="str">
        <f>VLOOKUP(Table1[[#This Row],[sheet]],Prg!$A$7:$J$31,5,FALSE)</f>
        <v>NIGER REP</v>
      </c>
      <c r="AG796">
        <f>ROW()</f>
        <v>796</v>
      </c>
    </row>
    <row r="797" spans="24:33" hidden="1" x14ac:dyDescent="0.25">
      <c r="X797">
        <v>5</v>
      </c>
      <c r="Y797" t="s">
        <v>764</v>
      </c>
      <c r="Z797" t="s">
        <v>109</v>
      </c>
      <c r="AA797" t="str">
        <f>IF(OR(VLOOKUP(Table1[[#This Row],[sheet]],Prg!$A$7:$F$31,6,FALSE)=Prg!$O$2,VLOOKUP(Table1[[#This Row],[sheet]],Prg!$A$7:$F$31,6,FALSE)=Prg!$O$3),"Yes","No")</f>
        <v>Yes</v>
      </c>
      <c r="AB797">
        <v>2024</v>
      </c>
      <c r="AC797">
        <v>17</v>
      </c>
      <c r="AD797">
        <f ca="1">IF(ISERROR(VLOOKUP(Table1[[#This Row],[item]],INDIRECT("'"&amp;Table1[[#This Row],[sheet]]&amp;"'!$A$8:$T$42"),Table1[[#This Row],[r]],FALSE)),"",VLOOKUP(Table1[[#This Row],[item]],INDIRECT("'"&amp;Table1[[#This Row],[sheet]]&amp;"'!$A$8:$T$42"),Table1[[#This Row],[r]],FALSE))</f>
        <v>971.1</v>
      </c>
      <c r="AE797">
        <f>IF(VLOOKUP(Table1[[#This Row],[sheet]],Prg!$A$7:$J$31,10,FALSE)="","",VLOOKUP(Table1[[#This Row],[sheet]],Prg!$A$7:$J$31,10,FALSE)*1)</f>
        <v>1</v>
      </c>
      <c r="AF797" t="str">
        <f>VLOOKUP(Table1[[#This Row],[sheet]],Prg!$A$7:$J$31,5,FALSE)</f>
        <v>NIGER REP</v>
      </c>
      <c r="AG797">
        <f>ROW()</f>
        <v>797</v>
      </c>
    </row>
    <row r="798" spans="24:33" hidden="1" x14ac:dyDescent="0.25">
      <c r="X798">
        <v>5</v>
      </c>
      <c r="Y798" t="s">
        <v>765</v>
      </c>
      <c r="Z798" t="s">
        <v>117</v>
      </c>
      <c r="AA798" t="str">
        <f>IF(OR(VLOOKUP(Table1[[#This Row],[sheet]],Prg!$A$7:$F$31,6,FALSE)=Prg!$O$2,VLOOKUP(Table1[[#This Row],[sheet]],Prg!$A$7:$F$31,6,FALSE)=Prg!$O$3),"Yes","No")</f>
        <v>Yes</v>
      </c>
      <c r="AB798">
        <v>2024</v>
      </c>
      <c r="AC798">
        <v>17</v>
      </c>
      <c r="AD798">
        <f ca="1">IF(ISERROR(VLOOKUP(Table1[[#This Row],[item]],INDIRECT("'"&amp;Table1[[#This Row],[sheet]]&amp;"'!$A$8:$T$42"),Table1[[#This Row],[r]],FALSE)),"",VLOOKUP(Table1[[#This Row],[item]],INDIRECT("'"&amp;Table1[[#This Row],[sheet]]&amp;"'!$A$8:$T$42"),Table1[[#This Row],[r]],FALSE))</f>
        <v>20094.72</v>
      </c>
      <c r="AE798">
        <f>IF(VLOOKUP(Table1[[#This Row],[sheet]],Prg!$A$7:$J$31,10,FALSE)="","",VLOOKUP(Table1[[#This Row],[sheet]],Prg!$A$7:$J$31,10,FALSE)*1)</f>
        <v>1</v>
      </c>
      <c r="AF798" t="str">
        <f>VLOOKUP(Table1[[#This Row],[sheet]],Prg!$A$7:$J$31,5,FALSE)</f>
        <v>NIGER REP</v>
      </c>
      <c r="AG798">
        <f>ROW()</f>
        <v>798</v>
      </c>
    </row>
    <row r="799" spans="24:33" hidden="1" x14ac:dyDescent="0.25">
      <c r="X799">
        <v>5</v>
      </c>
      <c r="Y799" t="s">
        <v>766</v>
      </c>
      <c r="Z799" t="s">
        <v>767</v>
      </c>
      <c r="AA799" t="str">
        <f>IF(OR(VLOOKUP(Table1[[#This Row],[sheet]],Prg!$A$7:$F$31,6,FALSE)=Prg!$O$2,VLOOKUP(Table1[[#This Row],[sheet]],Prg!$A$7:$F$31,6,FALSE)=Prg!$O$3),"Yes","No")</f>
        <v>Yes</v>
      </c>
      <c r="AB799">
        <v>2024</v>
      </c>
      <c r="AC799">
        <v>17</v>
      </c>
      <c r="AD799">
        <f ca="1">IF(ISERROR(VLOOKUP(Table1[[#This Row],[item]],INDIRECT("'"&amp;Table1[[#This Row],[sheet]]&amp;"'!$A$8:$T$42"),Table1[[#This Row],[r]],FALSE)),"",VLOOKUP(Table1[[#This Row],[item]],INDIRECT("'"&amp;Table1[[#This Row],[sheet]]&amp;"'!$A$8:$T$42"),Table1[[#This Row],[r]],FALSE))</f>
        <v>118785.29</v>
      </c>
      <c r="AE799">
        <f>IF(VLOOKUP(Table1[[#This Row],[sheet]],Prg!$A$7:$J$31,10,FALSE)="","",VLOOKUP(Table1[[#This Row],[sheet]],Prg!$A$7:$J$31,10,FALSE)*1)</f>
        <v>1</v>
      </c>
      <c r="AF799" t="str">
        <f>VLOOKUP(Table1[[#This Row],[sheet]],Prg!$A$7:$J$31,5,FALSE)</f>
        <v>NIGER REP</v>
      </c>
      <c r="AG799">
        <f>ROW()</f>
        <v>799</v>
      </c>
    </row>
    <row r="800" spans="24:33" hidden="1" x14ac:dyDescent="0.25">
      <c r="X800">
        <v>5</v>
      </c>
      <c r="Y800" t="s">
        <v>768</v>
      </c>
      <c r="Z800" t="s">
        <v>182</v>
      </c>
      <c r="AA800" t="str">
        <f>IF(OR(VLOOKUP(Table1[[#This Row],[sheet]],Prg!$A$7:$F$31,6,FALSE)=Prg!$O$2,VLOOKUP(Table1[[#This Row],[sheet]],Prg!$A$7:$F$31,6,FALSE)=Prg!$O$3),"Yes","No")</f>
        <v>Yes</v>
      </c>
      <c r="AB800">
        <v>2024</v>
      </c>
      <c r="AC800">
        <v>17</v>
      </c>
      <c r="AD800">
        <f ca="1">IF(ISERROR(VLOOKUP(Table1[[#This Row],[item]],INDIRECT("'"&amp;Table1[[#This Row],[sheet]]&amp;"'!$A$8:$T$42"),Table1[[#This Row],[r]],FALSE)),"",VLOOKUP(Table1[[#This Row],[item]],INDIRECT("'"&amp;Table1[[#This Row],[sheet]]&amp;"'!$A$8:$T$42"),Table1[[#This Row],[r]],FALSE))</f>
        <v>4000</v>
      </c>
      <c r="AE800">
        <f>IF(VLOOKUP(Table1[[#This Row],[sheet]],Prg!$A$7:$J$31,10,FALSE)="","",VLOOKUP(Table1[[#This Row],[sheet]],Prg!$A$7:$J$31,10,FALSE)*1)</f>
        <v>1</v>
      </c>
      <c r="AF800" t="str">
        <f>VLOOKUP(Table1[[#This Row],[sheet]],Prg!$A$7:$J$31,5,FALSE)</f>
        <v>NIGER REP</v>
      </c>
      <c r="AG800">
        <f>ROW()</f>
        <v>800</v>
      </c>
    </row>
    <row r="801" spans="24:33" hidden="1" x14ac:dyDescent="0.25">
      <c r="X801">
        <v>5</v>
      </c>
      <c r="Y801" t="s">
        <v>769</v>
      </c>
      <c r="Z801" t="s">
        <v>184</v>
      </c>
      <c r="AA801" t="str">
        <f>IF(OR(VLOOKUP(Table1[[#This Row],[sheet]],Prg!$A$7:$F$31,6,FALSE)=Prg!$O$2,VLOOKUP(Table1[[#This Row],[sheet]],Prg!$A$7:$F$31,6,FALSE)=Prg!$O$3),"Yes","No")</f>
        <v>Yes</v>
      </c>
      <c r="AB801">
        <v>2024</v>
      </c>
      <c r="AC801">
        <v>17</v>
      </c>
      <c r="AD801">
        <f ca="1">IF(ISERROR(VLOOKUP(Table1[[#This Row],[item]],INDIRECT("'"&amp;Table1[[#This Row],[sheet]]&amp;"'!$A$8:$T$42"),Table1[[#This Row],[r]],FALSE)),"",VLOOKUP(Table1[[#This Row],[item]],INDIRECT("'"&amp;Table1[[#This Row],[sheet]]&amp;"'!$A$8:$T$42"),Table1[[#This Row],[r]],FALSE))</f>
        <v>0</v>
      </c>
      <c r="AE801">
        <f>IF(VLOOKUP(Table1[[#This Row],[sheet]],Prg!$A$7:$J$31,10,FALSE)="","",VLOOKUP(Table1[[#This Row],[sheet]],Prg!$A$7:$J$31,10,FALSE)*1)</f>
        <v>1</v>
      </c>
      <c r="AF801" t="str">
        <f>VLOOKUP(Table1[[#This Row],[sheet]],Prg!$A$7:$J$31,5,FALSE)</f>
        <v>NIGER REP</v>
      </c>
      <c r="AG801">
        <f>ROW()</f>
        <v>801</v>
      </c>
    </row>
    <row r="802" spans="24:33" hidden="1" x14ac:dyDescent="0.25">
      <c r="X802">
        <v>5</v>
      </c>
      <c r="Y802" t="s">
        <v>770</v>
      </c>
      <c r="Z802" t="s">
        <v>186</v>
      </c>
      <c r="AA802" t="str">
        <f>IF(OR(VLOOKUP(Table1[[#This Row],[sheet]],Prg!$A$7:$F$31,6,FALSE)=Prg!$O$2,VLOOKUP(Table1[[#This Row],[sheet]],Prg!$A$7:$F$31,6,FALSE)=Prg!$O$3),"Yes","No")</f>
        <v>Yes</v>
      </c>
      <c r="AB802">
        <v>2024</v>
      </c>
      <c r="AC802">
        <v>17</v>
      </c>
      <c r="AD802">
        <f ca="1">IF(ISERROR(VLOOKUP(Table1[[#This Row],[item]],INDIRECT("'"&amp;Table1[[#This Row],[sheet]]&amp;"'!$A$8:$T$42"),Table1[[#This Row],[r]],FALSE)),"",VLOOKUP(Table1[[#This Row],[item]],INDIRECT("'"&amp;Table1[[#This Row],[sheet]]&amp;"'!$A$8:$T$42"),Table1[[#This Row],[r]],FALSE))</f>
        <v>4000</v>
      </c>
      <c r="AE802">
        <f>IF(VLOOKUP(Table1[[#This Row],[sheet]],Prg!$A$7:$J$31,10,FALSE)="","",VLOOKUP(Table1[[#This Row],[sheet]],Prg!$A$7:$J$31,10,FALSE)*1)</f>
        <v>1</v>
      </c>
      <c r="AF802" t="str">
        <f>VLOOKUP(Table1[[#This Row],[sheet]],Prg!$A$7:$J$31,5,FALSE)</f>
        <v>NIGER REP</v>
      </c>
      <c r="AG802">
        <f>ROW()</f>
        <v>802</v>
      </c>
    </row>
    <row r="803" spans="24:33" hidden="1" x14ac:dyDescent="0.25">
      <c r="X803">
        <v>5</v>
      </c>
      <c r="Y803" t="s">
        <v>771</v>
      </c>
      <c r="Z803" t="s">
        <v>772</v>
      </c>
      <c r="AA803" t="str">
        <f>IF(OR(VLOOKUP(Table1[[#This Row],[sheet]],Prg!$A$7:$F$31,6,FALSE)=Prg!$O$2,VLOOKUP(Table1[[#This Row],[sheet]],Prg!$A$7:$F$31,6,FALSE)=Prg!$O$3),"Yes","No")</f>
        <v>Yes</v>
      </c>
      <c r="AB803">
        <v>2024</v>
      </c>
      <c r="AC803">
        <v>17</v>
      </c>
      <c r="AD803">
        <f ca="1">IF(ISERROR(VLOOKUP(Table1[[#This Row],[item]],INDIRECT("'"&amp;Table1[[#This Row],[sheet]]&amp;"'!$A$8:$T$42"),Table1[[#This Row],[r]],FALSE)),"",VLOOKUP(Table1[[#This Row],[item]],INDIRECT("'"&amp;Table1[[#This Row],[sheet]]&amp;"'!$A$8:$T$42"),Table1[[#This Row],[r]],FALSE))</f>
        <v>0</v>
      </c>
      <c r="AE803">
        <f>IF(VLOOKUP(Table1[[#This Row],[sheet]],Prg!$A$7:$J$31,10,FALSE)="","",VLOOKUP(Table1[[#This Row],[sheet]],Prg!$A$7:$J$31,10,FALSE)*1)</f>
        <v>1</v>
      </c>
      <c r="AF803" t="str">
        <f>VLOOKUP(Table1[[#This Row],[sheet]],Prg!$A$7:$J$31,5,FALSE)</f>
        <v>NIGER REP</v>
      </c>
      <c r="AG803">
        <f>ROW()</f>
        <v>803</v>
      </c>
    </row>
    <row r="804" spans="24:33" hidden="1" x14ac:dyDescent="0.25">
      <c r="X804">
        <v>5</v>
      </c>
      <c r="Y804" t="s">
        <v>773</v>
      </c>
      <c r="Z804" t="s">
        <v>190</v>
      </c>
      <c r="AA804" t="str">
        <f>IF(OR(VLOOKUP(Table1[[#This Row],[sheet]],Prg!$A$7:$F$31,6,FALSE)=Prg!$O$2,VLOOKUP(Table1[[#This Row],[sheet]],Prg!$A$7:$F$31,6,FALSE)=Prg!$O$3),"Yes","No")</f>
        <v>Yes</v>
      </c>
      <c r="AB804">
        <v>2024</v>
      </c>
      <c r="AC804">
        <v>17</v>
      </c>
      <c r="AD804">
        <f ca="1">IF(ISERROR(VLOOKUP(Table1[[#This Row],[item]],INDIRECT("'"&amp;Table1[[#This Row],[sheet]]&amp;"'!$A$8:$T$42"),Table1[[#This Row],[r]],FALSE)),"",VLOOKUP(Table1[[#This Row],[item]],INDIRECT("'"&amp;Table1[[#This Row],[sheet]]&amp;"'!$A$8:$T$42"),Table1[[#This Row],[r]],FALSE))</f>
        <v>481773.44999999995</v>
      </c>
      <c r="AE804">
        <f>IF(VLOOKUP(Table1[[#This Row],[sheet]],Prg!$A$7:$J$31,10,FALSE)="","",VLOOKUP(Table1[[#This Row],[sheet]],Prg!$A$7:$J$31,10,FALSE)*1)</f>
        <v>1</v>
      </c>
      <c r="AF804" t="str">
        <f>VLOOKUP(Table1[[#This Row],[sheet]],Prg!$A$7:$J$31,5,FALSE)</f>
        <v>NIGER REP</v>
      </c>
      <c r="AG804">
        <f>ROW()</f>
        <v>804</v>
      </c>
    </row>
    <row r="805" spans="24:33" hidden="1" x14ac:dyDescent="0.25">
      <c r="X805">
        <v>5</v>
      </c>
      <c r="Y805" t="s">
        <v>709</v>
      </c>
      <c r="Z805" t="s">
        <v>192</v>
      </c>
      <c r="AA805" t="str">
        <f>IF(OR(VLOOKUP(Table1[[#This Row],[sheet]],Prg!$A$7:$F$31,6,FALSE)=Prg!$O$2,VLOOKUP(Table1[[#This Row],[sheet]],Prg!$A$7:$F$31,6,FALSE)=Prg!$O$3),"Yes","No")</f>
        <v>Yes</v>
      </c>
      <c r="AB805">
        <v>2024</v>
      </c>
      <c r="AC805">
        <v>17</v>
      </c>
      <c r="AD805">
        <f ca="1">IF(ISERROR(VLOOKUP(Table1[[#This Row],[item]],INDIRECT("'"&amp;Table1[[#This Row],[sheet]]&amp;"'!$A$8:$T$42"),Table1[[#This Row],[r]],FALSE)),"",VLOOKUP(Table1[[#This Row],[item]],INDIRECT("'"&amp;Table1[[#This Row],[sheet]]&amp;"'!$A$8:$T$42"),Table1[[#This Row],[r]],FALSE))</f>
        <v>971.1</v>
      </c>
      <c r="AE805">
        <f>IF(VLOOKUP(Table1[[#This Row],[sheet]],Prg!$A$7:$J$31,10,FALSE)="","",VLOOKUP(Table1[[#This Row],[sheet]],Prg!$A$7:$J$31,10,FALSE)*1)</f>
        <v>1</v>
      </c>
      <c r="AF805" t="str">
        <f>VLOOKUP(Table1[[#This Row],[sheet]],Prg!$A$7:$J$31,5,FALSE)</f>
        <v>NIGER REP</v>
      </c>
      <c r="AG805">
        <f>ROW()</f>
        <v>805</v>
      </c>
    </row>
    <row r="806" spans="24:33" hidden="1" x14ac:dyDescent="0.25">
      <c r="X806">
        <v>5</v>
      </c>
      <c r="Y806" t="s">
        <v>774</v>
      </c>
      <c r="Z806" t="s">
        <v>194</v>
      </c>
      <c r="AA806" t="str">
        <f>IF(OR(VLOOKUP(Table1[[#This Row],[sheet]],Prg!$A$7:$F$31,6,FALSE)=Prg!$O$2,VLOOKUP(Table1[[#This Row],[sheet]],Prg!$A$7:$F$31,6,FALSE)=Prg!$O$3),"Yes","No")</f>
        <v>Yes</v>
      </c>
      <c r="AB806">
        <v>2024</v>
      </c>
      <c r="AC806">
        <v>17</v>
      </c>
      <c r="AD806">
        <f ca="1">IF(ISERROR(VLOOKUP(Table1[[#This Row],[item]],INDIRECT("'"&amp;Table1[[#This Row],[sheet]]&amp;"'!$A$8:$T$42"),Table1[[#This Row],[r]],FALSE)),"",VLOOKUP(Table1[[#This Row],[item]],INDIRECT("'"&amp;Table1[[#This Row],[sheet]]&amp;"'!$A$8:$T$42"),Table1[[#This Row],[r]],FALSE))</f>
        <v>971.1</v>
      </c>
      <c r="AE806">
        <f>IF(VLOOKUP(Table1[[#This Row],[sheet]],Prg!$A$7:$J$31,10,FALSE)="","",VLOOKUP(Table1[[#This Row],[sheet]],Prg!$A$7:$J$31,10,FALSE)*1)</f>
        <v>1</v>
      </c>
      <c r="AF806" t="str">
        <f>VLOOKUP(Table1[[#This Row],[sheet]],Prg!$A$7:$J$31,5,FALSE)</f>
        <v>NIGER REP</v>
      </c>
      <c r="AG806">
        <f>ROW()</f>
        <v>806</v>
      </c>
    </row>
    <row r="807" spans="24:33" hidden="1" x14ac:dyDescent="0.25">
      <c r="X807">
        <v>5</v>
      </c>
      <c r="Y807" t="s">
        <v>775</v>
      </c>
      <c r="Z807" t="s">
        <v>196</v>
      </c>
      <c r="AA807" t="str">
        <f>IF(OR(VLOOKUP(Table1[[#This Row],[sheet]],Prg!$A$7:$F$31,6,FALSE)=Prg!$O$2,VLOOKUP(Table1[[#This Row],[sheet]],Prg!$A$7:$F$31,6,FALSE)=Prg!$O$3),"Yes","No")</f>
        <v>Yes</v>
      </c>
      <c r="AB807">
        <v>2024</v>
      </c>
      <c r="AC807">
        <v>17</v>
      </c>
      <c r="AD807">
        <f ca="1">IF(ISERROR(VLOOKUP(Table1[[#This Row],[item]],INDIRECT("'"&amp;Table1[[#This Row],[sheet]]&amp;"'!$A$8:$T$42"),Table1[[#This Row],[r]],FALSE)),"",VLOOKUP(Table1[[#This Row],[item]],INDIRECT("'"&amp;Table1[[#This Row],[sheet]]&amp;"'!$A$8:$T$42"),Table1[[#This Row],[r]],FALSE))</f>
        <v>0</v>
      </c>
      <c r="AE807">
        <f>IF(VLOOKUP(Table1[[#This Row],[sheet]],Prg!$A$7:$J$31,10,FALSE)="","",VLOOKUP(Table1[[#This Row],[sheet]],Prg!$A$7:$J$31,10,FALSE)*1)</f>
        <v>1</v>
      </c>
      <c r="AF807" t="str">
        <f>VLOOKUP(Table1[[#This Row],[sheet]],Prg!$A$7:$J$31,5,FALSE)</f>
        <v>NIGER REP</v>
      </c>
      <c r="AG807">
        <f>ROW()</f>
        <v>807</v>
      </c>
    </row>
    <row r="808" spans="24:33" hidden="1" x14ac:dyDescent="0.25">
      <c r="X808">
        <v>5</v>
      </c>
      <c r="Y808" t="s">
        <v>776</v>
      </c>
      <c r="Z808" t="s">
        <v>605</v>
      </c>
      <c r="AA808" t="str">
        <f>IF(OR(VLOOKUP(Table1[[#This Row],[sheet]],Prg!$A$7:$F$31,6,FALSE)=Prg!$O$2,VLOOKUP(Table1[[#This Row],[sheet]],Prg!$A$7:$F$31,6,FALSE)=Prg!$O$3),"Yes","No")</f>
        <v>Yes</v>
      </c>
      <c r="AB808">
        <v>2024</v>
      </c>
      <c r="AC808">
        <v>17</v>
      </c>
      <c r="AD808">
        <f ca="1">IF(ISERROR(VLOOKUP(Table1[[#This Row],[item]],INDIRECT("'"&amp;Table1[[#This Row],[sheet]]&amp;"'!$A$8:$T$42"),Table1[[#This Row],[r]],FALSE)),"",VLOOKUP(Table1[[#This Row],[item]],INDIRECT("'"&amp;Table1[[#This Row],[sheet]]&amp;"'!$A$8:$T$42"),Table1[[#This Row],[r]],FALSE))</f>
        <v>0</v>
      </c>
      <c r="AE808">
        <f>IF(VLOOKUP(Table1[[#This Row],[sheet]],Prg!$A$7:$J$31,10,FALSE)="","",VLOOKUP(Table1[[#This Row],[sheet]],Prg!$A$7:$J$31,10,FALSE)*1)</f>
        <v>1</v>
      </c>
      <c r="AF808" t="str">
        <f>VLOOKUP(Table1[[#This Row],[sheet]],Prg!$A$7:$J$31,5,FALSE)</f>
        <v>NIGER REP</v>
      </c>
      <c r="AG808">
        <f>ROW()</f>
        <v>808</v>
      </c>
    </row>
    <row r="809" spans="24:33" hidden="1" x14ac:dyDescent="0.25">
      <c r="X809">
        <v>5</v>
      </c>
      <c r="Y809" t="s">
        <v>711</v>
      </c>
      <c r="Z809" t="s">
        <v>200</v>
      </c>
      <c r="AA809" t="str">
        <f>IF(OR(VLOOKUP(Table1[[#This Row],[sheet]],Prg!$A$7:$F$31,6,FALSE)=Prg!$O$2,VLOOKUP(Table1[[#This Row],[sheet]],Prg!$A$7:$F$31,6,FALSE)=Prg!$O$3),"Yes","No")</f>
        <v>Yes</v>
      </c>
      <c r="AB809">
        <v>2024</v>
      </c>
      <c r="AC809">
        <v>17</v>
      </c>
      <c r="AD809">
        <f ca="1">IF(ISERROR(VLOOKUP(Table1[[#This Row],[item]],INDIRECT("'"&amp;Table1[[#This Row],[sheet]]&amp;"'!$A$8:$T$42"),Table1[[#This Row],[r]],FALSE)),"",VLOOKUP(Table1[[#This Row],[item]],INDIRECT("'"&amp;Table1[[#This Row],[sheet]]&amp;"'!$A$8:$T$42"),Table1[[#This Row],[r]],FALSE))</f>
        <v>279149.86</v>
      </c>
      <c r="AE809">
        <f>IF(VLOOKUP(Table1[[#This Row],[sheet]],Prg!$A$7:$J$31,10,FALSE)="","",VLOOKUP(Table1[[#This Row],[sheet]],Prg!$A$7:$J$31,10,FALSE)*1)</f>
        <v>1</v>
      </c>
      <c r="AF809" t="str">
        <f>VLOOKUP(Table1[[#This Row],[sheet]],Prg!$A$7:$J$31,5,FALSE)</f>
        <v>NIGER REP</v>
      </c>
      <c r="AG809">
        <f>ROW()</f>
        <v>809</v>
      </c>
    </row>
    <row r="810" spans="24:33" hidden="1" x14ac:dyDescent="0.25">
      <c r="X810">
        <v>5</v>
      </c>
      <c r="Y810" t="s">
        <v>777</v>
      </c>
      <c r="Z810" t="s">
        <v>202</v>
      </c>
      <c r="AA810" t="str">
        <f>IF(OR(VLOOKUP(Table1[[#This Row],[sheet]],Prg!$A$7:$F$31,6,FALSE)=Prg!$O$2,VLOOKUP(Table1[[#This Row],[sheet]],Prg!$A$7:$F$31,6,FALSE)=Prg!$O$3),"Yes","No")</f>
        <v>Yes</v>
      </c>
      <c r="AB810">
        <v>2024</v>
      </c>
      <c r="AC810">
        <v>17</v>
      </c>
      <c r="AD810">
        <f ca="1">IF(ISERROR(VLOOKUP(Table1[[#This Row],[item]],INDIRECT("'"&amp;Table1[[#This Row],[sheet]]&amp;"'!$A$8:$T$42"),Table1[[#This Row],[r]],FALSE)),"",VLOOKUP(Table1[[#This Row],[item]],INDIRECT("'"&amp;Table1[[#This Row],[sheet]]&amp;"'!$A$8:$T$42"),Table1[[#This Row],[r]],FALSE))</f>
        <v>28507.699999999997</v>
      </c>
      <c r="AE810">
        <f>IF(VLOOKUP(Table1[[#This Row],[sheet]],Prg!$A$7:$J$31,10,FALSE)="","",VLOOKUP(Table1[[#This Row],[sheet]],Prg!$A$7:$J$31,10,FALSE)*1)</f>
        <v>1</v>
      </c>
      <c r="AF810" t="str">
        <f>VLOOKUP(Table1[[#This Row],[sheet]],Prg!$A$7:$J$31,5,FALSE)</f>
        <v>NIGER REP</v>
      </c>
      <c r="AG810">
        <f>ROW()</f>
        <v>810</v>
      </c>
    </row>
    <row r="811" spans="24:33" hidden="1" x14ac:dyDescent="0.25">
      <c r="X811">
        <v>5</v>
      </c>
      <c r="Y811" t="s">
        <v>778</v>
      </c>
      <c r="Z811" t="s">
        <v>204</v>
      </c>
      <c r="AA811" t="str">
        <f>IF(OR(VLOOKUP(Table1[[#This Row],[sheet]],Prg!$A$7:$F$31,6,FALSE)=Prg!$O$2,VLOOKUP(Table1[[#This Row],[sheet]],Prg!$A$7:$F$31,6,FALSE)=Prg!$O$3),"Yes","No")</f>
        <v>Yes</v>
      </c>
      <c r="AB811">
        <v>2024</v>
      </c>
      <c r="AC811">
        <v>17</v>
      </c>
      <c r="AD811">
        <f ca="1">IF(ISERROR(VLOOKUP(Table1[[#This Row],[item]],INDIRECT("'"&amp;Table1[[#This Row],[sheet]]&amp;"'!$A$8:$T$42"),Table1[[#This Row],[r]],FALSE)),"",VLOOKUP(Table1[[#This Row],[item]],INDIRECT("'"&amp;Table1[[#This Row],[sheet]]&amp;"'!$A$8:$T$42"),Table1[[#This Row],[r]],FALSE))</f>
        <v>5396.7</v>
      </c>
      <c r="AE811">
        <f>IF(VLOOKUP(Table1[[#This Row],[sheet]],Prg!$A$7:$J$31,10,FALSE)="","",VLOOKUP(Table1[[#This Row],[sheet]],Prg!$A$7:$J$31,10,FALSE)*1)</f>
        <v>1</v>
      </c>
      <c r="AF811" t="str">
        <f>VLOOKUP(Table1[[#This Row],[sheet]],Prg!$A$7:$J$31,5,FALSE)</f>
        <v>NIGER REP</v>
      </c>
      <c r="AG811">
        <f>ROW()</f>
        <v>811</v>
      </c>
    </row>
    <row r="812" spans="24:33" hidden="1" x14ac:dyDescent="0.25">
      <c r="X812">
        <v>5</v>
      </c>
      <c r="Y812" t="s">
        <v>779</v>
      </c>
      <c r="Z812" t="s">
        <v>605</v>
      </c>
      <c r="AA812" t="str">
        <f>IF(OR(VLOOKUP(Table1[[#This Row],[sheet]],Prg!$A$7:$F$31,6,FALSE)=Prg!$O$2,VLOOKUP(Table1[[#This Row],[sheet]],Prg!$A$7:$F$31,6,FALSE)=Prg!$O$3),"Yes","No")</f>
        <v>Yes</v>
      </c>
      <c r="AB812">
        <v>2024</v>
      </c>
      <c r="AC812">
        <v>17</v>
      </c>
      <c r="AD812">
        <f ca="1">IF(ISERROR(VLOOKUP(Table1[[#This Row],[item]],INDIRECT("'"&amp;Table1[[#This Row],[sheet]]&amp;"'!$A$8:$T$42"),Table1[[#This Row],[r]],FALSE)),"",VLOOKUP(Table1[[#This Row],[item]],INDIRECT("'"&amp;Table1[[#This Row],[sheet]]&amp;"'!$A$8:$T$42"),Table1[[#This Row],[r]],FALSE))</f>
        <v>245245.46</v>
      </c>
      <c r="AE812">
        <f>IF(VLOOKUP(Table1[[#This Row],[sheet]],Prg!$A$7:$J$31,10,FALSE)="","",VLOOKUP(Table1[[#This Row],[sheet]],Prg!$A$7:$J$31,10,FALSE)*1)</f>
        <v>1</v>
      </c>
      <c r="AF812" t="str">
        <f>VLOOKUP(Table1[[#This Row],[sheet]],Prg!$A$7:$J$31,5,FALSE)</f>
        <v>NIGER REP</v>
      </c>
      <c r="AG812">
        <f>ROW()</f>
        <v>812</v>
      </c>
    </row>
    <row r="813" spans="24:33" hidden="1" x14ac:dyDescent="0.25">
      <c r="X813">
        <v>5</v>
      </c>
      <c r="Y813" t="s">
        <v>712</v>
      </c>
      <c r="Z813" t="s">
        <v>780</v>
      </c>
      <c r="AA813" t="str">
        <f>IF(OR(VLOOKUP(Table1[[#This Row],[sheet]],Prg!$A$7:$F$31,6,FALSE)=Prg!$O$2,VLOOKUP(Table1[[#This Row],[sheet]],Prg!$A$7:$F$31,6,FALSE)=Prg!$O$3),"Yes","No")</f>
        <v>Yes</v>
      </c>
      <c r="AB813">
        <v>2024</v>
      </c>
      <c r="AC813">
        <v>17</v>
      </c>
      <c r="AD813">
        <f ca="1">IF(ISERROR(VLOOKUP(Table1[[#This Row],[item]],INDIRECT("'"&amp;Table1[[#This Row],[sheet]]&amp;"'!$A$8:$T$42"),Table1[[#This Row],[r]],FALSE)),"",VLOOKUP(Table1[[#This Row],[item]],INDIRECT("'"&amp;Table1[[#This Row],[sheet]]&amp;"'!$A$8:$T$42"),Table1[[#This Row],[r]],FALSE))</f>
        <v>201652.49</v>
      </c>
      <c r="AE813">
        <f>IF(VLOOKUP(Table1[[#This Row],[sheet]],Prg!$A$7:$J$31,10,FALSE)="","",VLOOKUP(Table1[[#This Row],[sheet]],Prg!$A$7:$J$31,10,FALSE)*1)</f>
        <v>1</v>
      </c>
      <c r="AF813" t="str">
        <f>VLOOKUP(Table1[[#This Row],[sheet]],Prg!$A$7:$J$31,5,FALSE)</f>
        <v>NIGER REP</v>
      </c>
      <c r="AG813">
        <f>ROW()</f>
        <v>813</v>
      </c>
    </row>
    <row r="814" spans="24:33" hidden="1" x14ac:dyDescent="0.25">
      <c r="X814">
        <v>5</v>
      </c>
      <c r="Y814" t="s">
        <v>781</v>
      </c>
      <c r="Z814" t="s">
        <v>782</v>
      </c>
      <c r="AA814" t="str">
        <f>IF(OR(VLOOKUP(Table1[[#This Row],[sheet]],Prg!$A$7:$F$31,6,FALSE)=Prg!$O$2,VLOOKUP(Table1[[#This Row],[sheet]],Prg!$A$7:$F$31,6,FALSE)=Prg!$O$3),"Yes","No")</f>
        <v>Yes</v>
      </c>
      <c r="AB814">
        <v>2024</v>
      </c>
      <c r="AC814">
        <v>17</v>
      </c>
      <c r="AD814">
        <f ca="1">IF(ISERROR(VLOOKUP(Table1[[#This Row],[item]],INDIRECT("'"&amp;Table1[[#This Row],[sheet]]&amp;"'!$A$8:$T$42"),Table1[[#This Row],[r]],FALSE)),"",VLOOKUP(Table1[[#This Row],[item]],INDIRECT("'"&amp;Table1[[#This Row],[sheet]]&amp;"'!$A$8:$T$42"),Table1[[#This Row],[r]],FALSE))</f>
        <v>0</v>
      </c>
      <c r="AE814">
        <f>IF(VLOOKUP(Table1[[#This Row],[sheet]],Prg!$A$7:$J$31,10,FALSE)="","",VLOOKUP(Table1[[#This Row],[sheet]],Prg!$A$7:$J$31,10,FALSE)*1)</f>
        <v>1</v>
      </c>
      <c r="AF814" t="str">
        <f>VLOOKUP(Table1[[#This Row],[sheet]],Prg!$A$7:$J$31,5,FALSE)</f>
        <v>NIGER REP</v>
      </c>
      <c r="AG814">
        <f>ROW()</f>
        <v>814</v>
      </c>
    </row>
    <row r="815" spans="24:33" hidden="1" x14ac:dyDescent="0.25">
      <c r="X815">
        <v>5</v>
      </c>
      <c r="Y815" t="s">
        <v>783</v>
      </c>
      <c r="Z815" t="s">
        <v>784</v>
      </c>
      <c r="AA815" t="str">
        <f>IF(OR(VLOOKUP(Table1[[#This Row],[sheet]],Prg!$A$7:$F$31,6,FALSE)=Prg!$O$2,VLOOKUP(Table1[[#This Row],[sheet]],Prg!$A$7:$F$31,6,FALSE)=Prg!$O$3),"Yes","No")</f>
        <v>Yes</v>
      </c>
      <c r="AB815">
        <v>2024</v>
      </c>
      <c r="AC815">
        <v>17</v>
      </c>
      <c r="AD815">
        <f ca="1">IF(ISERROR(VLOOKUP(Table1[[#This Row],[item]],INDIRECT("'"&amp;Table1[[#This Row],[sheet]]&amp;"'!$A$8:$T$42"),Table1[[#This Row],[r]],FALSE)),"",VLOOKUP(Table1[[#This Row],[item]],INDIRECT("'"&amp;Table1[[#This Row],[sheet]]&amp;"'!$A$8:$T$42"),Table1[[#This Row],[r]],FALSE))</f>
        <v>0</v>
      </c>
      <c r="AE815">
        <f>IF(VLOOKUP(Table1[[#This Row],[sheet]],Prg!$A$7:$J$31,10,FALSE)="","",VLOOKUP(Table1[[#This Row],[sheet]],Prg!$A$7:$J$31,10,FALSE)*1)</f>
        <v>1</v>
      </c>
      <c r="AF815" t="str">
        <f>VLOOKUP(Table1[[#This Row],[sheet]],Prg!$A$7:$J$31,5,FALSE)</f>
        <v>NIGER REP</v>
      </c>
      <c r="AG815">
        <f>ROW()</f>
        <v>815</v>
      </c>
    </row>
    <row r="816" spans="24:33" hidden="1" x14ac:dyDescent="0.25">
      <c r="X816">
        <v>5</v>
      </c>
      <c r="Y816" t="s">
        <v>785</v>
      </c>
      <c r="Z816" t="s">
        <v>786</v>
      </c>
      <c r="AA816" t="str">
        <f>IF(OR(VLOOKUP(Table1[[#This Row],[sheet]],Prg!$A$7:$F$31,6,FALSE)=Prg!$O$2,VLOOKUP(Table1[[#This Row],[sheet]],Prg!$A$7:$F$31,6,FALSE)=Prg!$O$3),"Yes","No")</f>
        <v>Yes</v>
      </c>
      <c r="AB816">
        <v>2024</v>
      </c>
      <c r="AC816">
        <v>17</v>
      </c>
      <c r="AD816">
        <f ca="1">IF(ISERROR(VLOOKUP(Table1[[#This Row],[item]],INDIRECT("'"&amp;Table1[[#This Row],[sheet]]&amp;"'!$A$8:$T$42"),Table1[[#This Row],[r]],FALSE)),"",VLOOKUP(Table1[[#This Row],[item]],INDIRECT("'"&amp;Table1[[#This Row],[sheet]]&amp;"'!$A$8:$T$42"),Table1[[#This Row],[r]],FALSE))</f>
        <v>201652.49</v>
      </c>
      <c r="AE816">
        <f>IF(VLOOKUP(Table1[[#This Row],[sheet]],Prg!$A$7:$J$31,10,FALSE)="","",VLOOKUP(Table1[[#This Row],[sheet]],Prg!$A$7:$J$31,10,FALSE)*1)</f>
        <v>1</v>
      </c>
      <c r="AF816" t="str">
        <f>VLOOKUP(Table1[[#This Row],[sheet]],Prg!$A$7:$J$31,5,FALSE)</f>
        <v>NIGER REP</v>
      </c>
      <c r="AG816">
        <f>ROW()</f>
        <v>816</v>
      </c>
    </row>
    <row r="817" spans="24:33" hidden="1" x14ac:dyDescent="0.25">
      <c r="X817">
        <v>5</v>
      </c>
      <c r="Y817" t="s">
        <v>787</v>
      </c>
      <c r="Z817" t="s">
        <v>633</v>
      </c>
      <c r="AA817" t="str">
        <f>IF(OR(VLOOKUP(Table1[[#This Row],[sheet]],Prg!$A$7:$F$31,6,FALSE)=Prg!$O$2,VLOOKUP(Table1[[#This Row],[sheet]],Prg!$A$7:$F$31,6,FALSE)=Prg!$O$3),"Yes","No")</f>
        <v>Yes</v>
      </c>
      <c r="AB817">
        <v>2024</v>
      </c>
      <c r="AC817">
        <v>17</v>
      </c>
      <c r="AD817">
        <f ca="1">IF(ISERROR(VLOOKUP(Table1[[#This Row],[item]],INDIRECT("'"&amp;Table1[[#This Row],[sheet]]&amp;"'!$A$8:$T$42"),Table1[[#This Row],[r]],FALSE)),"",VLOOKUP(Table1[[#This Row],[item]],INDIRECT("'"&amp;Table1[[#This Row],[sheet]]&amp;"'!$A$8:$T$42"),Table1[[#This Row],[r]],FALSE))</f>
        <v>0</v>
      </c>
      <c r="AE817">
        <f>IF(VLOOKUP(Table1[[#This Row],[sheet]],Prg!$A$7:$J$31,10,FALSE)="","",VLOOKUP(Table1[[#This Row],[sheet]],Prg!$A$7:$J$31,10,FALSE)*1)</f>
        <v>1</v>
      </c>
      <c r="AF817" t="str">
        <f>VLOOKUP(Table1[[#This Row],[sheet]],Prg!$A$7:$J$31,5,FALSE)</f>
        <v>NIGER REP</v>
      </c>
      <c r="AG817">
        <f>ROW()</f>
        <v>817</v>
      </c>
    </row>
    <row r="818" spans="24:33" hidden="1" x14ac:dyDescent="0.25">
      <c r="X818">
        <v>5</v>
      </c>
      <c r="Y818" s="53" t="s">
        <v>753</v>
      </c>
      <c r="Z818" s="53" t="s">
        <v>162</v>
      </c>
      <c r="AA818" s="53" t="str">
        <f>IF(OR(VLOOKUP(Table1[[#This Row],[sheet]],Prg!$A$7:$F$31,6,FALSE)=Prg!$O$2,VLOOKUP(Table1[[#This Row],[sheet]],Prg!$A$7:$F$31,6,FALSE)=Prg!$O$3),"Yes","No")</f>
        <v>Yes</v>
      </c>
      <c r="AB818" s="53">
        <v>2025</v>
      </c>
      <c r="AC818">
        <v>18</v>
      </c>
      <c r="AD818">
        <f ca="1">IF(ISERROR(VLOOKUP(Table1[[#This Row],[item]],INDIRECT("'"&amp;Table1[[#This Row],[sheet]]&amp;"'!$A$8:$T$42"),Table1[[#This Row],[r]],FALSE)),"",VLOOKUP(Table1[[#This Row],[item]],INDIRECT("'"&amp;Table1[[#This Row],[sheet]]&amp;"'!$A$8:$T$42"),Table1[[#This Row],[r]],FALSE))</f>
        <v>207522.61</v>
      </c>
      <c r="AE818">
        <f>IF(VLOOKUP(Table1[[#This Row],[sheet]],Prg!$A$7:$J$31,10,FALSE)="","",VLOOKUP(Table1[[#This Row],[sheet]],Prg!$A$7:$J$31,10,FALSE)*1)</f>
        <v>1</v>
      </c>
      <c r="AF818" t="str">
        <f>VLOOKUP(Table1[[#This Row],[sheet]],Prg!$A$7:$J$31,5,FALSE)</f>
        <v>NIGER REP</v>
      </c>
      <c r="AG818">
        <f>ROW()</f>
        <v>818</v>
      </c>
    </row>
    <row r="819" spans="24:33" hidden="1" x14ac:dyDescent="0.25">
      <c r="X819">
        <v>5</v>
      </c>
      <c r="Y819" t="s">
        <v>754</v>
      </c>
      <c r="Z819" t="s">
        <v>164</v>
      </c>
      <c r="AA819" t="str">
        <f>IF(OR(VLOOKUP(Table1[[#This Row],[sheet]],Prg!$A$7:$F$31,6,FALSE)=Prg!$O$2,VLOOKUP(Table1[[#This Row],[sheet]],Prg!$A$7:$F$31,6,FALSE)=Prg!$O$3),"Yes","No")</f>
        <v>Yes</v>
      </c>
      <c r="AB819">
        <v>2025</v>
      </c>
      <c r="AC819">
        <v>18</v>
      </c>
      <c r="AD819">
        <f ca="1">IF(ISERROR(VLOOKUP(Table1[[#This Row],[item]],INDIRECT("'"&amp;Table1[[#This Row],[sheet]]&amp;"'!$A$8:$T$42"),Table1[[#This Row],[r]],FALSE)),"",VLOOKUP(Table1[[#This Row],[item]],INDIRECT("'"&amp;Table1[[#This Row],[sheet]]&amp;"'!$A$8:$T$42"),Table1[[#This Row],[r]],FALSE))</f>
        <v>0</v>
      </c>
      <c r="AE819">
        <f>IF(VLOOKUP(Table1[[#This Row],[sheet]],Prg!$A$7:$J$31,10,FALSE)="","",VLOOKUP(Table1[[#This Row],[sheet]],Prg!$A$7:$J$31,10,FALSE)*1)</f>
        <v>1</v>
      </c>
      <c r="AF819" t="str">
        <f>VLOOKUP(Table1[[#This Row],[sheet]],Prg!$A$7:$J$31,5,FALSE)</f>
        <v>NIGER REP</v>
      </c>
      <c r="AG819">
        <f>ROW()</f>
        <v>819</v>
      </c>
    </row>
    <row r="820" spans="24:33" hidden="1" x14ac:dyDescent="0.25">
      <c r="X820">
        <v>5</v>
      </c>
      <c r="Y820" t="s">
        <v>755</v>
      </c>
      <c r="Z820" t="s">
        <v>166</v>
      </c>
      <c r="AA820" t="str">
        <f>IF(OR(VLOOKUP(Table1[[#This Row],[sheet]],Prg!$A$7:$F$31,6,FALSE)=Prg!$O$2,VLOOKUP(Table1[[#This Row],[sheet]],Prg!$A$7:$F$31,6,FALSE)=Prg!$O$3),"Yes","No")</f>
        <v>Yes</v>
      </c>
      <c r="AB820">
        <v>2025</v>
      </c>
      <c r="AC820">
        <v>18</v>
      </c>
      <c r="AD820">
        <f ca="1">IF(ISERROR(VLOOKUP(Table1[[#This Row],[item]],INDIRECT("'"&amp;Table1[[#This Row],[sheet]]&amp;"'!$A$8:$T$42"),Table1[[#This Row],[r]],FALSE)),"",VLOOKUP(Table1[[#This Row],[item]],INDIRECT("'"&amp;Table1[[#This Row],[sheet]]&amp;"'!$A$8:$T$42"),Table1[[#This Row],[r]],FALSE))</f>
        <v>126938.06</v>
      </c>
      <c r="AE820">
        <f>IF(VLOOKUP(Table1[[#This Row],[sheet]],Prg!$A$7:$J$31,10,FALSE)="","",VLOOKUP(Table1[[#This Row],[sheet]],Prg!$A$7:$J$31,10,FALSE)*1)</f>
        <v>1</v>
      </c>
      <c r="AF820" t="str">
        <f>VLOOKUP(Table1[[#This Row],[sheet]],Prg!$A$7:$J$31,5,FALSE)</f>
        <v>NIGER REP</v>
      </c>
      <c r="AG820">
        <f>ROW()</f>
        <v>820</v>
      </c>
    </row>
    <row r="821" spans="24:33" hidden="1" x14ac:dyDescent="0.25">
      <c r="X821">
        <v>5</v>
      </c>
      <c r="Y821" t="s">
        <v>756</v>
      </c>
      <c r="Z821" t="s">
        <v>757</v>
      </c>
      <c r="AA821" t="str">
        <f>IF(OR(VLOOKUP(Table1[[#This Row],[sheet]],Prg!$A$7:$F$31,6,FALSE)=Prg!$O$2,VLOOKUP(Table1[[#This Row],[sheet]],Prg!$A$7:$F$31,6,FALSE)=Prg!$O$3),"Yes","No")</f>
        <v>Yes</v>
      </c>
      <c r="AB821">
        <v>2025</v>
      </c>
      <c r="AC821">
        <v>18</v>
      </c>
      <c r="AD821">
        <f ca="1">IF(ISERROR(VLOOKUP(Table1[[#This Row],[item]],INDIRECT("'"&amp;Table1[[#This Row],[sheet]]&amp;"'!$A$8:$T$42"),Table1[[#This Row],[r]],FALSE)),"",VLOOKUP(Table1[[#This Row],[item]],INDIRECT("'"&amp;Table1[[#This Row],[sheet]]&amp;"'!$A$8:$T$42"),Table1[[#This Row],[r]],FALSE))</f>
        <v>80584.55</v>
      </c>
      <c r="AE821">
        <f>IF(VLOOKUP(Table1[[#This Row],[sheet]],Prg!$A$7:$J$31,10,FALSE)="","",VLOOKUP(Table1[[#This Row],[sheet]],Prg!$A$7:$J$31,10,FALSE)*1)</f>
        <v>1</v>
      </c>
      <c r="AF821" t="str">
        <f>VLOOKUP(Table1[[#This Row],[sheet]],Prg!$A$7:$J$31,5,FALSE)</f>
        <v>NIGER REP</v>
      </c>
      <c r="AG821">
        <f>ROW()</f>
        <v>821</v>
      </c>
    </row>
    <row r="822" spans="24:33" hidden="1" x14ac:dyDescent="0.25">
      <c r="X822">
        <v>5</v>
      </c>
      <c r="Y822" t="s">
        <v>758</v>
      </c>
      <c r="Z822" t="s">
        <v>170</v>
      </c>
      <c r="AA822" t="str">
        <f>IF(OR(VLOOKUP(Table1[[#This Row],[sheet]],Prg!$A$7:$F$31,6,FALSE)=Prg!$O$2,VLOOKUP(Table1[[#This Row],[sheet]],Prg!$A$7:$F$31,6,FALSE)=Prg!$O$3),"Yes","No")</f>
        <v>Yes</v>
      </c>
      <c r="AB822">
        <v>2025</v>
      </c>
      <c r="AC822">
        <v>18</v>
      </c>
      <c r="AD822">
        <f ca="1">IF(ISERROR(VLOOKUP(Table1[[#This Row],[item]],INDIRECT("'"&amp;Table1[[#This Row],[sheet]]&amp;"'!$A$8:$T$42"),Table1[[#This Row],[r]],FALSE)),"",VLOOKUP(Table1[[#This Row],[item]],INDIRECT("'"&amp;Table1[[#This Row],[sheet]]&amp;"'!$A$8:$T$42"),Table1[[#This Row],[r]],FALSE))</f>
        <v>7622.45</v>
      </c>
      <c r="AE822">
        <f>IF(VLOOKUP(Table1[[#This Row],[sheet]],Prg!$A$7:$J$31,10,FALSE)="","",VLOOKUP(Table1[[#This Row],[sheet]],Prg!$A$7:$J$31,10,FALSE)*1)</f>
        <v>1</v>
      </c>
      <c r="AF822" t="str">
        <f>VLOOKUP(Table1[[#This Row],[sheet]],Prg!$A$7:$J$31,5,FALSE)</f>
        <v>NIGER REP</v>
      </c>
      <c r="AG822">
        <f>ROW()</f>
        <v>822</v>
      </c>
    </row>
    <row r="823" spans="24:33" hidden="1" x14ac:dyDescent="0.25">
      <c r="X823">
        <v>5</v>
      </c>
      <c r="Y823" t="s">
        <v>759</v>
      </c>
      <c r="Z823" t="s">
        <v>172</v>
      </c>
      <c r="AA823" t="str">
        <f>IF(OR(VLOOKUP(Table1[[#This Row],[sheet]],Prg!$A$7:$F$31,6,FALSE)=Prg!$O$2,VLOOKUP(Table1[[#This Row],[sheet]],Prg!$A$7:$F$31,6,FALSE)=Prg!$O$3),"Yes","No")</f>
        <v>Yes</v>
      </c>
      <c r="AB823">
        <v>2025</v>
      </c>
      <c r="AC823">
        <v>18</v>
      </c>
      <c r="AD823">
        <f ca="1">IF(ISERROR(VLOOKUP(Table1[[#This Row],[item]],INDIRECT("'"&amp;Table1[[#This Row],[sheet]]&amp;"'!$A$8:$T$42"),Table1[[#This Row],[r]],FALSE)),"",VLOOKUP(Table1[[#This Row],[item]],INDIRECT("'"&amp;Table1[[#This Row],[sheet]]&amp;"'!$A$8:$T$42"),Table1[[#This Row],[r]],FALSE))</f>
        <v>0</v>
      </c>
      <c r="AE823">
        <f>IF(VLOOKUP(Table1[[#This Row],[sheet]],Prg!$A$7:$J$31,10,FALSE)="","",VLOOKUP(Table1[[#This Row],[sheet]],Prg!$A$7:$J$31,10,FALSE)*1)</f>
        <v>1</v>
      </c>
      <c r="AF823" t="str">
        <f>VLOOKUP(Table1[[#This Row],[sheet]],Prg!$A$7:$J$31,5,FALSE)</f>
        <v>NIGER REP</v>
      </c>
      <c r="AG823">
        <f>ROW()</f>
        <v>823</v>
      </c>
    </row>
    <row r="824" spans="24:33" hidden="1" x14ac:dyDescent="0.25">
      <c r="X824">
        <v>5</v>
      </c>
      <c r="Y824" t="s">
        <v>760</v>
      </c>
      <c r="Z824" t="s">
        <v>174</v>
      </c>
      <c r="AA824" t="str">
        <f>IF(OR(VLOOKUP(Table1[[#This Row],[sheet]],Prg!$A$7:$F$31,6,FALSE)=Prg!$O$2,VLOOKUP(Table1[[#This Row],[sheet]],Prg!$A$7:$F$31,6,FALSE)=Prg!$O$3),"Yes","No")</f>
        <v>Yes</v>
      </c>
      <c r="AB824">
        <v>2025</v>
      </c>
      <c r="AC824">
        <v>18</v>
      </c>
      <c r="AD824">
        <f ca="1">IF(ISERROR(VLOOKUP(Table1[[#This Row],[item]],INDIRECT("'"&amp;Table1[[#This Row],[sheet]]&amp;"'!$A$8:$T$42"),Table1[[#This Row],[r]],FALSE)),"",VLOOKUP(Table1[[#This Row],[item]],INDIRECT("'"&amp;Table1[[#This Row],[sheet]]&amp;"'!$A$8:$T$42"),Table1[[#This Row],[r]],FALSE))</f>
        <v>7622.45</v>
      </c>
      <c r="AE824">
        <f>IF(VLOOKUP(Table1[[#This Row],[sheet]],Prg!$A$7:$J$31,10,FALSE)="","",VLOOKUP(Table1[[#This Row],[sheet]],Prg!$A$7:$J$31,10,FALSE)*1)</f>
        <v>1</v>
      </c>
      <c r="AF824" t="str">
        <f>VLOOKUP(Table1[[#This Row],[sheet]],Prg!$A$7:$J$31,5,FALSE)</f>
        <v>NIGER REP</v>
      </c>
      <c r="AG824">
        <f>ROW()</f>
        <v>824</v>
      </c>
    </row>
    <row r="825" spans="24:33" hidden="1" x14ac:dyDescent="0.25">
      <c r="X825">
        <v>5</v>
      </c>
      <c r="Y825" t="s">
        <v>761</v>
      </c>
      <c r="Z825" t="s">
        <v>762</v>
      </c>
      <c r="AA825" t="str">
        <f>IF(OR(VLOOKUP(Table1[[#This Row],[sheet]],Prg!$A$7:$F$31,6,FALSE)=Prg!$O$2,VLOOKUP(Table1[[#This Row],[sheet]],Prg!$A$7:$F$31,6,FALSE)=Prg!$O$3),"Yes","No")</f>
        <v>Yes</v>
      </c>
      <c r="AB825">
        <v>2025</v>
      </c>
      <c r="AC825">
        <v>18</v>
      </c>
      <c r="AD825">
        <f ca="1">IF(ISERROR(VLOOKUP(Table1[[#This Row],[item]],INDIRECT("'"&amp;Table1[[#This Row],[sheet]]&amp;"'!$A$8:$T$42"),Table1[[#This Row],[r]],FALSE)),"",VLOOKUP(Table1[[#This Row],[item]],INDIRECT("'"&amp;Table1[[#This Row],[sheet]]&amp;"'!$A$8:$T$42"),Table1[[#This Row],[r]],FALSE))</f>
        <v>0</v>
      </c>
      <c r="AE825">
        <f>IF(VLOOKUP(Table1[[#This Row],[sheet]],Prg!$A$7:$J$31,10,FALSE)="","",VLOOKUP(Table1[[#This Row],[sheet]],Prg!$A$7:$J$31,10,FALSE)*1)</f>
        <v>1</v>
      </c>
      <c r="AF825" t="str">
        <f>VLOOKUP(Table1[[#This Row],[sheet]],Prg!$A$7:$J$31,5,FALSE)</f>
        <v>NIGER REP</v>
      </c>
      <c r="AG825">
        <f>ROW()</f>
        <v>825</v>
      </c>
    </row>
    <row r="826" spans="24:33" hidden="1" x14ac:dyDescent="0.25">
      <c r="X826">
        <v>5</v>
      </c>
      <c r="Y826" t="s">
        <v>763</v>
      </c>
      <c r="Z826" t="s">
        <v>178</v>
      </c>
      <c r="AA826" t="str">
        <f>IF(OR(VLOOKUP(Table1[[#This Row],[sheet]],Prg!$A$7:$F$31,6,FALSE)=Prg!$O$2,VLOOKUP(Table1[[#This Row],[sheet]],Prg!$A$7:$F$31,6,FALSE)=Prg!$O$3),"Yes","No")</f>
        <v>Yes</v>
      </c>
      <c r="AB826">
        <v>2025</v>
      </c>
      <c r="AC826">
        <v>18</v>
      </c>
      <c r="AD826">
        <f ca="1">IF(ISERROR(VLOOKUP(Table1[[#This Row],[item]],INDIRECT("'"&amp;Table1[[#This Row],[sheet]]&amp;"'!$A$8:$T$42"),Table1[[#This Row],[r]],FALSE)),"",VLOOKUP(Table1[[#This Row],[item]],INDIRECT("'"&amp;Table1[[#This Row],[sheet]]&amp;"'!$A$8:$T$42"),Table1[[#This Row],[r]],FALSE))</f>
        <v>124364.92</v>
      </c>
      <c r="AE826">
        <f>IF(VLOOKUP(Table1[[#This Row],[sheet]],Prg!$A$7:$J$31,10,FALSE)="","",VLOOKUP(Table1[[#This Row],[sheet]],Prg!$A$7:$J$31,10,FALSE)*1)</f>
        <v>1</v>
      </c>
      <c r="AF826" t="str">
        <f>VLOOKUP(Table1[[#This Row],[sheet]],Prg!$A$7:$J$31,5,FALSE)</f>
        <v>NIGER REP</v>
      </c>
      <c r="AG826">
        <f>ROW()</f>
        <v>826</v>
      </c>
    </row>
    <row r="827" spans="24:33" hidden="1" x14ac:dyDescent="0.25">
      <c r="X827">
        <v>5</v>
      </c>
      <c r="Y827" t="s">
        <v>764</v>
      </c>
      <c r="Z827" t="s">
        <v>109</v>
      </c>
      <c r="AA827" t="str">
        <f>IF(OR(VLOOKUP(Table1[[#This Row],[sheet]],Prg!$A$7:$F$31,6,FALSE)=Prg!$O$2,VLOOKUP(Table1[[#This Row],[sheet]],Prg!$A$7:$F$31,6,FALSE)=Prg!$O$3),"Yes","No")</f>
        <v>Yes</v>
      </c>
      <c r="AB827">
        <v>2025</v>
      </c>
      <c r="AC827">
        <v>18</v>
      </c>
      <c r="AD827">
        <f ca="1">IF(ISERROR(VLOOKUP(Table1[[#This Row],[item]],INDIRECT("'"&amp;Table1[[#This Row],[sheet]]&amp;"'!$A$8:$T$42"),Table1[[#This Row],[r]],FALSE)),"",VLOOKUP(Table1[[#This Row],[item]],INDIRECT("'"&amp;Table1[[#This Row],[sheet]]&amp;"'!$A$8:$T$42"),Table1[[#This Row],[r]],FALSE))</f>
        <v>0</v>
      </c>
      <c r="AE827">
        <f>IF(VLOOKUP(Table1[[#This Row],[sheet]],Prg!$A$7:$J$31,10,FALSE)="","",VLOOKUP(Table1[[#This Row],[sheet]],Prg!$A$7:$J$31,10,FALSE)*1)</f>
        <v>1</v>
      </c>
      <c r="AF827" t="str">
        <f>VLOOKUP(Table1[[#This Row],[sheet]],Prg!$A$7:$J$31,5,FALSE)</f>
        <v>NIGER REP</v>
      </c>
      <c r="AG827">
        <f>ROW()</f>
        <v>827</v>
      </c>
    </row>
    <row r="828" spans="24:33" hidden="1" x14ac:dyDescent="0.25">
      <c r="X828">
        <v>5</v>
      </c>
      <c r="Y828" t="s">
        <v>765</v>
      </c>
      <c r="Z828" t="s">
        <v>117</v>
      </c>
      <c r="AA828" t="str">
        <f>IF(OR(VLOOKUP(Table1[[#This Row],[sheet]],Prg!$A$7:$F$31,6,FALSE)=Prg!$O$2,VLOOKUP(Table1[[#This Row],[sheet]],Prg!$A$7:$F$31,6,FALSE)=Prg!$O$3),"Yes","No")</f>
        <v>Yes</v>
      </c>
      <c r="AB828">
        <v>2025</v>
      </c>
      <c r="AC828">
        <v>18</v>
      </c>
      <c r="AD828">
        <f ca="1">IF(ISERROR(VLOOKUP(Table1[[#This Row],[item]],INDIRECT("'"&amp;Table1[[#This Row],[sheet]]&amp;"'!$A$8:$T$42"),Table1[[#This Row],[r]],FALSE)),"",VLOOKUP(Table1[[#This Row],[item]],INDIRECT("'"&amp;Table1[[#This Row],[sheet]]&amp;"'!$A$8:$T$42"),Table1[[#This Row],[r]],FALSE))</f>
        <v>5579.63</v>
      </c>
      <c r="AE828">
        <f>IF(VLOOKUP(Table1[[#This Row],[sheet]],Prg!$A$7:$J$31,10,FALSE)="","",VLOOKUP(Table1[[#This Row],[sheet]],Prg!$A$7:$J$31,10,FALSE)*1)</f>
        <v>1</v>
      </c>
      <c r="AF828" t="str">
        <f>VLOOKUP(Table1[[#This Row],[sheet]],Prg!$A$7:$J$31,5,FALSE)</f>
        <v>NIGER REP</v>
      </c>
      <c r="AG828">
        <f>ROW()</f>
        <v>828</v>
      </c>
    </row>
    <row r="829" spans="24:33" hidden="1" x14ac:dyDescent="0.25">
      <c r="X829">
        <v>5</v>
      </c>
      <c r="Y829" t="s">
        <v>766</v>
      </c>
      <c r="Z829" t="s">
        <v>767</v>
      </c>
      <c r="AA829" t="str">
        <f>IF(OR(VLOOKUP(Table1[[#This Row],[sheet]],Prg!$A$7:$F$31,6,FALSE)=Prg!$O$2,VLOOKUP(Table1[[#This Row],[sheet]],Prg!$A$7:$F$31,6,FALSE)=Prg!$O$3),"Yes","No")</f>
        <v>Yes</v>
      </c>
      <c r="AB829">
        <v>2025</v>
      </c>
      <c r="AC829">
        <v>18</v>
      </c>
      <c r="AD829">
        <f ca="1">IF(ISERROR(VLOOKUP(Table1[[#This Row],[item]],INDIRECT("'"&amp;Table1[[#This Row],[sheet]]&amp;"'!$A$8:$T$42"),Table1[[#This Row],[r]],FALSE)),"",VLOOKUP(Table1[[#This Row],[item]],INDIRECT("'"&amp;Table1[[#This Row],[sheet]]&amp;"'!$A$8:$T$42"),Table1[[#This Row],[r]],FALSE))</f>
        <v>118785.29</v>
      </c>
      <c r="AE829">
        <f>IF(VLOOKUP(Table1[[#This Row],[sheet]],Prg!$A$7:$J$31,10,FALSE)="","",VLOOKUP(Table1[[#This Row],[sheet]],Prg!$A$7:$J$31,10,FALSE)*1)</f>
        <v>1</v>
      </c>
      <c r="AF829" t="str">
        <f>VLOOKUP(Table1[[#This Row],[sheet]],Prg!$A$7:$J$31,5,FALSE)</f>
        <v>NIGER REP</v>
      </c>
      <c r="AG829">
        <f>ROW()</f>
        <v>829</v>
      </c>
    </row>
    <row r="830" spans="24:33" hidden="1" x14ac:dyDescent="0.25">
      <c r="X830">
        <v>5</v>
      </c>
      <c r="Y830" t="s">
        <v>768</v>
      </c>
      <c r="Z830" t="s">
        <v>182</v>
      </c>
      <c r="AA830" t="str">
        <f>IF(OR(VLOOKUP(Table1[[#This Row],[sheet]],Prg!$A$7:$F$31,6,FALSE)=Prg!$O$2,VLOOKUP(Table1[[#This Row],[sheet]],Prg!$A$7:$F$31,6,FALSE)=Prg!$O$3),"Yes","No")</f>
        <v>Yes</v>
      </c>
      <c r="AB830">
        <v>2025</v>
      </c>
      <c r="AC830">
        <v>18</v>
      </c>
      <c r="AD830">
        <f ca="1">IF(ISERROR(VLOOKUP(Table1[[#This Row],[item]],INDIRECT("'"&amp;Table1[[#This Row],[sheet]]&amp;"'!$A$8:$T$42"),Table1[[#This Row],[r]],FALSE)),"",VLOOKUP(Table1[[#This Row],[item]],INDIRECT("'"&amp;Table1[[#This Row],[sheet]]&amp;"'!$A$8:$T$42"),Table1[[#This Row],[r]],FALSE))</f>
        <v>4000</v>
      </c>
      <c r="AE830">
        <f>IF(VLOOKUP(Table1[[#This Row],[sheet]],Prg!$A$7:$J$31,10,FALSE)="","",VLOOKUP(Table1[[#This Row],[sheet]],Prg!$A$7:$J$31,10,FALSE)*1)</f>
        <v>1</v>
      </c>
      <c r="AF830" t="str">
        <f>VLOOKUP(Table1[[#This Row],[sheet]],Prg!$A$7:$J$31,5,FALSE)</f>
        <v>NIGER REP</v>
      </c>
      <c r="AG830">
        <f>ROW()</f>
        <v>830</v>
      </c>
    </row>
    <row r="831" spans="24:33" hidden="1" x14ac:dyDescent="0.25">
      <c r="X831">
        <v>5</v>
      </c>
      <c r="Y831" t="s">
        <v>769</v>
      </c>
      <c r="Z831" t="s">
        <v>184</v>
      </c>
      <c r="AA831" t="str">
        <f>IF(OR(VLOOKUP(Table1[[#This Row],[sheet]],Prg!$A$7:$F$31,6,FALSE)=Prg!$O$2,VLOOKUP(Table1[[#This Row],[sheet]],Prg!$A$7:$F$31,6,FALSE)=Prg!$O$3),"Yes","No")</f>
        <v>Yes</v>
      </c>
      <c r="AB831">
        <v>2025</v>
      </c>
      <c r="AC831">
        <v>18</v>
      </c>
      <c r="AD831">
        <f ca="1">IF(ISERROR(VLOOKUP(Table1[[#This Row],[item]],INDIRECT("'"&amp;Table1[[#This Row],[sheet]]&amp;"'!$A$8:$T$42"),Table1[[#This Row],[r]],FALSE)),"",VLOOKUP(Table1[[#This Row],[item]],INDIRECT("'"&amp;Table1[[#This Row],[sheet]]&amp;"'!$A$8:$T$42"),Table1[[#This Row],[r]],FALSE))</f>
        <v>0</v>
      </c>
      <c r="AE831">
        <f>IF(VLOOKUP(Table1[[#This Row],[sheet]],Prg!$A$7:$J$31,10,FALSE)="","",VLOOKUP(Table1[[#This Row],[sheet]],Prg!$A$7:$J$31,10,FALSE)*1)</f>
        <v>1</v>
      </c>
      <c r="AF831" t="str">
        <f>VLOOKUP(Table1[[#This Row],[sheet]],Prg!$A$7:$J$31,5,FALSE)</f>
        <v>NIGER REP</v>
      </c>
      <c r="AG831">
        <f>ROW()</f>
        <v>831</v>
      </c>
    </row>
    <row r="832" spans="24:33" hidden="1" x14ac:dyDescent="0.25">
      <c r="X832">
        <v>5</v>
      </c>
      <c r="Y832" t="s">
        <v>770</v>
      </c>
      <c r="Z832" t="s">
        <v>186</v>
      </c>
      <c r="AA832" t="str">
        <f>IF(OR(VLOOKUP(Table1[[#This Row],[sheet]],Prg!$A$7:$F$31,6,FALSE)=Prg!$O$2,VLOOKUP(Table1[[#This Row],[sheet]],Prg!$A$7:$F$31,6,FALSE)=Prg!$O$3),"Yes","No")</f>
        <v>Yes</v>
      </c>
      <c r="AB832">
        <v>2025</v>
      </c>
      <c r="AC832">
        <v>18</v>
      </c>
      <c r="AD832">
        <f ca="1">IF(ISERROR(VLOOKUP(Table1[[#This Row],[item]],INDIRECT("'"&amp;Table1[[#This Row],[sheet]]&amp;"'!$A$8:$T$42"),Table1[[#This Row],[r]],FALSE)),"",VLOOKUP(Table1[[#This Row],[item]],INDIRECT("'"&amp;Table1[[#This Row],[sheet]]&amp;"'!$A$8:$T$42"),Table1[[#This Row],[r]],FALSE))</f>
        <v>4000</v>
      </c>
      <c r="AE832">
        <f>IF(VLOOKUP(Table1[[#This Row],[sheet]],Prg!$A$7:$J$31,10,FALSE)="","",VLOOKUP(Table1[[#This Row],[sheet]],Prg!$A$7:$J$31,10,FALSE)*1)</f>
        <v>1</v>
      </c>
      <c r="AF832" t="str">
        <f>VLOOKUP(Table1[[#This Row],[sheet]],Prg!$A$7:$J$31,5,FALSE)</f>
        <v>NIGER REP</v>
      </c>
      <c r="AG832">
        <f>ROW()</f>
        <v>832</v>
      </c>
    </row>
    <row r="833" spans="24:33" hidden="1" x14ac:dyDescent="0.25">
      <c r="X833">
        <v>5</v>
      </c>
      <c r="Y833" t="s">
        <v>771</v>
      </c>
      <c r="Z833" t="s">
        <v>772</v>
      </c>
      <c r="AA833" t="str">
        <f>IF(OR(VLOOKUP(Table1[[#This Row],[sheet]],Prg!$A$7:$F$31,6,FALSE)=Prg!$O$2,VLOOKUP(Table1[[#This Row],[sheet]],Prg!$A$7:$F$31,6,FALSE)=Prg!$O$3),"Yes","No")</f>
        <v>Yes</v>
      </c>
      <c r="AB833">
        <v>2025</v>
      </c>
      <c r="AC833">
        <v>18</v>
      </c>
      <c r="AD833">
        <f ca="1">IF(ISERROR(VLOOKUP(Table1[[#This Row],[item]],INDIRECT("'"&amp;Table1[[#This Row],[sheet]]&amp;"'!$A$8:$T$42"),Table1[[#This Row],[r]],FALSE)),"",VLOOKUP(Table1[[#This Row],[item]],INDIRECT("'"&amp;Table1[[#This Row],[sheet]]&amp;"'!$A$8:$T$42"),Table1[[#This Row],[r]],FALSE))</f>
        <v>0</v>
      </c>
      <c r="AE833">
        <f>IF(VLOOKUP(Table1[[#This Row],[sheet]],Prg!$A$7:$J$31,10,FALSE)="","",VLOOKUP(Table1[[#This Row],[sheet]],Prg!$A$7:$J$31,10,FALSE)*1)</f>
        <v>1</v>
      </c>
      <c r="AF833" t="str">
        <f>VLOOKUP(Table1[[#This Row],[sheet]],Prg!$A$7:$J$31,5,FALSE)</f>
        <v>NIGER REP</v>
      </c>
      <c r="AG833">
        <f>ROW()</f>
        <v>833</v>
      </c>
    </row>
    <row r="834" spans="24:33" hidden="1" x14ac:dyDescent="0.25">
      <c r="X834">
        <v>5</v>
      </c>
      <c r="Y834" t="s">
        <v>773</v>
      </c>
      <c r="Z834" t="s">
        <v>190</v>
      </c>
      <c r="AA834" t="str">
        <f>IF(OR(VLOOKUP(Table1[[#This Row],[sheet]],Prg!$A$7:$F$31,6,FALSE)=Prg!$O$2,VLOOKUP(Table1[[#This Row],[sheet]],Prg!$A$7:$F$31,6,FALSE)=Prg!$O$3),"Yes","No")</f>
        <v>Yes</v>
      </c>
      <c r="AB834">
        <v>2025</v>
      </c>
      <c r="AC834">
        <v>18</v>
      </c>
      <c r="AD834">
        <f ca="1">IF(ISERROR(VLOOKUP(Table1[[#This Row],[item]],INDIRECT("'"&amp;Table1[[#This Row],[sheet]]&amp;"'!$A$8:$T$42"),Table1[[#This Row],[r]],FALSE)),"",VLOOKUP(Table1[[#This Row],[item]],INDIRECT("'"&amp;Table1[[#This Row],[sheet]]&amp;"'!$A$8:$T$42"),Table1[[#This Row],[r]],FALSE))</f>
        <v>343509.98</v>
      </c>
      <c r="AE834">
        <f>IF(VLOOKUP(Table1[[#This Row],[sheet]],Prg!$A$7:$J$31,10,FALSE)="","",VLOOKUP(Table1[[#This Row],[sheet]],Prg!$A$7:$J$31,10,FALSE)*1)</f>
        <v>1</v>
      </c>
      <c r="AF834" t="str">
        <f>VLOOKUP(Table1[[#This Row],[sheet]],Prg!$A$7:$J$31,5,FALSE)</f>
        <v>NIGER REP</v>
      </c>
      <c r="AG834">
        <f>ROW()</f>
        <v>834</v>
      </c>
    </row>
    <row r="835" spans="24:33" hidden="1" x14ac:dyDescent="0.25">
      <c r="X835">
        <v>5</v>
      </c>
      <c r="Y835" t="s">
        <v>709</v>
      </c>
      <c r="Z835" t="s">
        <v>192</v>
      </c>
      <c r="AA835" t="str">
        <f>IF(OR(VLOOKUP(Table1[[#This Row],[sheet]],Prg!$A$7:$F$31,6,FALSE)=Prg!$O$2,VLOOKUP(Table1[[#This Row],[sheet]],Prg!$A$7:$F$31,6,FALSE)=Prg!$O$3),"Yes","No")</f>
        <v>Yes</v>
      </c>
      <c r="AB835">
        <v>2025</v>
      </c>
      <c r="AC835">
        <v>18</v>
      </c>
      <c r="AD835">
        <f ca="1">IF(ISERROR(VLOOKUP(Table1[[#This Row],[item]],INDIRECT("'"&amp;Table1[[#This Row],[sheet]]&amp;"'!$A$8:$T$42"),Table1[[#This Row],[r]],FALSE)),"",VLOOKUP(Table1[[#This Row],[item]],INDIRECT("'"&amp;Table1[[#This Row],[sheet]]&amp;"'!$A$8:$T$42"),Table1[[#This Row],[r]],FALSE))</f>
        <v>0</v>
      </c>
      <c r="AE835">
        <f>IF(VLOOKUP(Table1[[#This Row],[sheet]],Prg!$A$7:$J$31,10,FALSE)="","",VLOOKUP(Table1[[#This Row],[sheet]],Prg!$A$7:$J$31,10,FALSE)*1)</f>
        <v>1</v>
      </c>
      <c r="AF835" t="str">
        <f>VLOOKUP(Table1[[#This Row],[sheet]],Prg!$A$7:$J$31,5,FALSE)</f>
        <v>NIGER REP</v>
      </c>
      <c r="AG835">
        <f>ROW()</f>
        <v>835</v>
      </c>
    </row>
    <row r="836" spans="24:33" hidden="1" x14ac:dyDescent="0.25">
      <c r="X836">
        <v>5</v>
      </c>
      <c r="Y836" t="s">
        <v>774</v>
      </c>
      <c r="Z836" t="s">
        <v>194</v>
      </c>
      <c r="AA836" t="str">
        <f>IF(OR(VLOOKUP(Table1[[#This Row],[sheet]],Prg!$A$7:$F$31,6,FALSE)=Prg!$O$2,VLOOKUP(Table1[[#This Row],[sheet]],Prg!$A$7:$F$31,6,FALSE)=Prg!$O$3),"Yes","No")</f>
        <v>Yes</v>
      </c>
      <c r="AB836">
        <v>2025</v>
      </c>
      <c r="AC836">
        <v>18</v>
      </c>
      <c r="AD836">
        <f ca="1">IF(ISERROR(VLOOKUP(Table1[[#This Row],[item]],INDIRECT("'"&amp;Table1[[#This Row],[sheet]]&amp;"'!$A$8:$T$42"),Table1[[#This Row],[r]],FALSE)),"",VLOOKUP(Table1[[#This Row],[item]],INDIRECT("'"&amp;Table1[[#This Row],[sheet]]&amp;"'!$A$8:$T$42"),Table1[[#This Row],[r]],FALSE))</f>
        <v>0</v>
      </c>
      <c r="AE836">
        <f>IF(VLOOKUP(Table1[[#This Row],[sheet]],Prg!$A$7:$J$31,10,FALSE)="","",VLOOKUP(Table1[[#This Row],[sheet]],Prg!$A$7:$J$31,10,FALSE)*1)</f>
        <v>1</v>
      </c>
      <c r="AF836" t="str">
        <f>VLOOKUP(Table1[[#This Row],[sheet]],Prg!$A$7:$J$31,5,FALSE)</f>
        <v>NIGER REP</v>
      </c>
      <c r="AG836">
        <f>ROW()</f>
        <v>836</v>
      </c>
    </row>
    <row r="837" spans="24:33" hidden="1" x14ac:dyDescent="0.25">
      <c r="X837">
        <v>5</v>
      </c>
      <c r="Y837" t="s">
        <v>775</v>
      </c>
      <c r="Z837" t="s">
        <v>196</v>
      </c>
      <c r="AA837" t="str">
        <f>IF(OR(VLOOKUP(Table1[[#This Row],[sheet]],Prg!$A$7:$F$31,6,FALSE)=Prg!$O$2,VLOOKUP(Table1[[#This Row],[sheet]],Prg!$A$7:$F$31,6,FALSE)=Prg!$O$3),"Yes","No")</f>
        <v>Yes</v>
      </c>
      <c r="AB837">
        <v>2025</v>
      </c>
      <c r="AC837">
        <v>18</v>
      </c>
      <c r="AD837">
        <f ca="1">IF(ISERROR(VLOOKUP(Table1[[#This Row],[item]],INDIRECT("'"&amp;Table1[[#This Row],[sheet]]&amp;"'!$A$8:$T$42"),Table1[[#This Row],[r]],FALSE)),"",VLOOKUP(Table1[[#This Row],[item]],INDIRECT("'"&amp;Table1[[#This Row],[sheet]]&amp;"'!$A$8:$T$42"),Table1[[#This Row],[r]],FALSE))</f>
        <v>0</v>
      </c>
      <c r="AE837">
        <f>IF(VLOOKUP(Table1[[#This Row],[sheet]],Prg!$A$7:$J$31,10,FALSE)="","",VLOOKUP(Table1[[#This Row],[sheet]],Prg!$A$7:$J$31,10,FALSE)*1)</f>
        <v>1</v>
      </c>
      <c r="AF837" t="str">
        <f>VLOOKUP(Table1[[#This Row],[sheet]],Prg!$A$7:$J$31,5,FALSE)</f>
        <v>NIGER REP</v>
      </c>
      <c r="AG837">
        <f>ROW()</f>
        <v>837</v>
      </c>
    </row>
    <row r="838" spans="24:33" hidden="1" x14ac:dyDescent="0.25">
      <c r="X838">
        <v>5</v>
      </c>
      <c r="Y838" t="s">
        <v>776</v>
      </c>
      <c r="Z838" t="s">
        <v>605</v>
      </c>
      <c r="AA838" t="str">
        <f>IF(OR(VLOOKUP(Table1[[#This Row],[sheet]],Prg!$A$7:$F$31,6,FALSE)=Prg!$O$2,VLOOKUP(Table1[[#This Row],[sheet]],Prg!$A$7:$F$31,6,FALSE)=Prg!$O$3),"Yes","No")</f>
        <v>Yes</v>
      </c>
      <c r="AB838">
        <v>2025</v>
      </c>
      <c r="AC838">
        <v>18</v>
      </c>
      <c r="AD838">
        <f ca="1">IF(ISERROR(VLOOKUP(Table1[[#This Row],[item]],INDIRECT("'"&amp;Table1[[#This Row],[sheet]]&amp;"'!$A$8:$T$42"),Table1[[#This Row],[r]],FALSE)),"",VLOOKUP(Table1[[#This Row],[item]],INDIRECT("'"&amp;Table1[[#This Row],[sheet]]&amp;"'!$A$8:$T$42"),Table1[[#This Row],[r]],FALSE))</f>
        <v>0</v>
      </c>
      <c r="AE838">
        <f>IF(VLOOKUP(Table1[[#This Row],[sheet]],Prg!$A$7:$J$31,10,FALSE)="","",VLOOKUP(Table1[[#This Row],[sheet]],Prg!$A$7:$J$31,10,FALSE)*1)</f>
        <v>1</v>
      </c>
      <c r="AF838" t="str">
        <f>VLOOKUP(Table1[[#This Row],[sheet]],Prg!$A$7:$J$31,5,FALSE)</f>
        <v>NIGER REP</v>
      </c>
      <c r="AG838">
        <f>ROW()</f>
        <v>838</v>
      </c>
    </row>
    <row r="839" spans="24:33" hidden="1" x14ac:dyDescent="0.25">
      <c r="X839">
        <v>5</v>
      </c>
      <c r="Y839" t="s">
        <v>711</v>
      </c>
      <c r="Z839" t="s">
        <v>200</v>
      </c>
      <c r="AA839" t="str">
        <f>IF(OR(VLOOKUP(Table1[[#This Row],[sheet]],Prg!$A$7:$F$31,6,FALSE)=Prg!$O$2,VLOOKUP(Table1[[#This Row],[sheet]],Prg!$A$7:$F$31,6,FALSE)=Prg!$O$3),"Yes","No")</f>
        <v>Yes</v>
      </c>
      <c r="AB839">
        <v>2025</v>
      </c>
      <c r="AC839">
        <v>18</v>
      </c>
      <c r="AD839">
        <f ca="1">IF(ISERROR(VLOOKUP(Table1[[#This Row],[item]],INDIRECT("'"&amp;Table1[[#This Row],[sheet]]&amp;"'!$A$8:$T$42"),Table1[[#This Row],[r]],FALSE)),"",VLOOKUP(Table1[[#This Row],[item]],INDIRECT("'"&amp;Table1[[#This Row],[sheet]]&amp;"'!$A$8:$T$42"),Table1[[#This Row],[r]],FALSE))</f>
        <v>144140.14000000001</v>
      </c>
      <c r="AE839">
        <f>IF(VLOOKUP(Table1[[#This Row],[sheet]],Prg!$A$7:$J$31,10,FALSE)="","",VLOOKUP(Table1[[#This Row],[sheet]],Prg!$A$7:$J$31,10,FALSE)*1)</f>
        <v>1</v>
      </c>
      <c r="AF839" t="str">
        <f>VLOOKUP(Table1[[#This Row],[sheet]],Prg!$A$7:$J$31,5,FALSE)</f>
        <v>NIGER REP</v>
      </c>
      <c r="AG839">
        <f>ROW()</f>
        <v>839</v>
      </c>
    </row>
    <row r="840" spans="24:33" hidden="1" x14ac:dyDescent="0.25">
      <c r="X840">
        <v>5</v>
      </c>
      <c r="Y840" t="s">
        <v>777</v>
      </c>
      <c r="Z840" t="s">
        <v>202</v>
      </c>
      <c r="AA840" t="str">
        <f>IF(OR(VLOOKUP(Table1[[#This Row],[sheet]],Prg!$A$7:$F$31,6,FALSE)=Prg!$O$2,VLOOKUP(Table1[[#This Row],[sheet]],Prg!$A$7:$F$31,6,FALSE)=Prg!$O$3),"Yes","No")</f>
        <v>Yes</v>
      </c>
      <c r="AB840">
        <v>2025</v>
      </c>
      <c r="AC840">
        <v>18</v>
      </c>
      <c r="AD840">
        <f ca="1">IF(ISERROR(VLOOKUP(Table1[[#This Row],[item]],INDIRECT("'"&amp;Table1[[#This Row],[sheet]]&amp;"'!$A$8:$T$42"),Table1[[#This Row],[r]],FALSE)),"",VLOOKUP(Table1[[#This Row],[item]],INDIRECT("'"&amp;Table1[[#This Row],[sheet]]&amp;"'!$A$8:$T$42"),Table1[[#This Row],[r]],FALSE))</f>
        <v>21567.919999999998</v>
      </c>
      <c r="AE840">
        <f>IF(VLOOKUP(Table1[[#This Row],[sheet]],Prg!$A$7:$J$31,10,FALSE)="","",VLOOKUP(Table1[[#This Row],[sheet]],Prg!$A$7:$J$31,10,FALSE)*1)</f>
        <v>1</v>
      </c>
      <c r="AF840" t="str">
        <f>VLOOKUP(Table1[[#This Row],[sheet]],Prg!$A$7:$J$31,5,FALSE)</f>
        <v>NIGER REP</v>
      </c>
      <c r="AG840">
        <f>ROW()</f>
        <v>840</v>
      </c>
    </row>
    <row r="841" spans="24:33" hidden="1" x14ac:dyDescent="0.25">
      <c r="X841">
        <v>5</v>
      </c>
      <c r="Y841" t="s">
        <v>778</v>
      </c>
      <c r="Z841" t="s">
        <v>204</v>
      </c>
      <c r="AA841" t="str">
        <f>IF(OR(VLOOKUP(Table1[[#This Row],[sheet]],Prg!$A$7:$F$31,6,FALSE)=Prg!$O$2,VLOOKUP(Table1[[#This Row],[sheet]],Prg!$A$7:$F$31,6,FALSE)=Prg!$O$3),"Yes","No")</f>
        <v>Yes</v>
      </c>
      <c r="AB841">
        <v>2025</v>
      </c>
      <c r="AC841">
        <v>18</v>
      </c>
      <c r="AD841">
        <f ca="1">IF(ISERROR(VLOOKUP(Table1[[#This Row],[item]],INDIRECT("'"&amp;Table1[[#This Row],[sheet]]&amp;"'!$A$8:$T$42"),Table1[[#This Row],[r]],FALSE)),"",VLOOKUP(Table1[[#This Row],[item]],INDIRECT("'"&amp;Table1[[#This Row],[sheet]]&amp;"'!$A$8:$T$42"),Table1[[#This Row],[r]],FALSE))</f>
        <v>5396.7</v>
      </c>
      <c r="AE841">
        <f>IF(VLOOKUP(Table1[[#This Row],[sheet]],Prg!$A$7:$J$31,10,FALSE)="","",VLOOKUP(Table1[[#This Row],[sheet]],Prg!$A$7:$J$31,10,FALSE)*1)</f>
        <v>1</v>
      </c>
      <c r="AF841" t="str">
        <f>VLOOKUP(Table1[[#This Row],[sheet]],Prg!$A$7:$J$31,5,FALSE)</f>
        <v>NIGER REP</v>
      </c>
      <c r="AG841">
        <f>ROW()</f>
        <v>841</v>
      </c>
    </row>
    <row r="842" spans="24:33" hidden="1" x14ac:dyDescent="0.25">
      <c r="X842">
        <v>5</v>
      </c>
      <c r="Y842" t="s">
        <v>779</v>
      </c>
      <c r="Z842" t="s">
        <v>605</v>
      </c>
      <c r="AA842" t="str">
        <f>IF(OR(VLOOKUP(Table1[[#This Row],[sheet]],Prg!$A$7:$F$31,6,FALSE)=Prg!$O$2,VLOOKUP(Table1[[#This Row],[sheet]],Prg!$A$7:$F$31,6,FALSE)=Prg!$O$3),"Yes","No")</f>
        <v>Yes</v>
      </c>
      <c r="AB842">
        <v>2025</v>
      </c>
      <c r="AC842">
        <v>18</v>
      </c>
      <c r="AD842">
        <f ca="1">IF(ISERROR(VLOOKUP(Table1[[#This Row],[item]],INDIRECT("'"&amp;Table1[[#This Row],[sheet]]&amp;"'!$A$8:$T$42"),Table1[[#This Row],[r]],FALSE)),"",VLOOKUP(Table1[[#This Row],[item]],INDIRECT("'"&amp;Table1[[#This Row],[sheet]]&amp;"'!$A$8:$T$42"),Table1[[#This Row],[r]],FALSE))</f>
        <v>117175.52</v>
      </c>
      <c r="AE842">
        <f>IF(VLOOKUP(Table1[[#This Row],[sheet]],Prg!$A$7:$J$31,10,FALSE)="","",VLOOKUP(Table1[[#This Row],[sheet]],Prg!$A$7:$J$31,10,FALSE)*1)</f>
        <v>1</v>
      </c>
      <c r="AF842" t="str">
        <f>VLOOKUP(Table1[[#This Row],[sheet]],Prg!$A$7:$J$31,5,FALSE)</f>
        <v>NIGER REP</v>
      </c>
      <c r="AG842">
        <f>ROW()</f>
        <v>842</v>
      </c>
    </row>
    <row r="843" spans="24:33" hidden="1" x14ac:dyDescent="0.25">
      <c r="X843">
        <v>5</v>
      </c>
      <c r="Y843" t="s">
        <v>712</v>
      </c>
      <c r="Z843" t="s">
        <v>780</v>
      </c>
      <c r="AA843" t="str">
        <f>IF(OR(VLOOKUP(Table1[[#This Row],[sheet]],Prg!$A$7:$F$31,6,FALSE)=Prg!$O$2,VLOOKUP(Table1[[#This Row],[sheet]],Prg!$A$7:$F$31,6,FALSE)=Prg!$O$3),"Yes","No")</f>
        <v>Yes</v>
      </c>
      <c r="AB843">
        <v>2025</v>
      </c>
      <c r="AC843">
        <v>18</v>
      </c>
      <c r="AD843">
        <f ca="1">IF(ISERROR(VLOOKUP(Table1[[#This Row],[item]],INDIRECT("'"&amp;Table1[[#This Row],[sheet]]&amp;"'!$A$8:$T$42"),Table1[[#This Row],[r]],FALSE)),"",VLOOKUP(Table1[[#This Row],[item]],INDIRECT("'"&amp;Table1[[#This Row],[sheet]]&amp;"'!$A$8:$T$42"),Table1[[#This Row],[r]],FALSE))</f>
        <v>199369.84</v>
      </c>
      <c r="AE843">
        <f>IF(VLOOKUP(Table1[[#This Row],[sheet]],Prg!$A$7:$J$31,10,FALSE)="","",VLOOKUP(Table1[[#This Row],[sheet]],Prg!$A$7:$J$31,10,FALSE)*1)</f>
        <v>1</v>
      </c>
      <c r="AF843" t="str">
        <f>VLOOKUP(Table1[[#This Row],[sheet]],Prg!$A$7:$J$31,5,FALSE)</f>
        <v>NIGER REP</v>
      </c>
      <c r="AG843">
        <f>ROW()</f>
        <v>843</v>
      </c>
    </row>
    <row r="844" spans="24:33" hidden="1" x14ac:dyDescent="0.25">
      <c r="X844">
        <v>5</v>
      </c>
      <c r="Y844" t="s">
        <v>781</v>
      </c>
      <c r="Z844" t="s">
        <v>782</v>
      </c>
      <c r="AA844" t="str">
        <f>IF(OR(VLOOKUP(Table1[[#This Row],[sheet]],Prg!$A$7:$F$31,6,FALSE)=Prg!$O$2,VLOOKUP(Table1[[#This Row],[sheet]],Prg!$A$7:$F$31,6,FALSE)=Prg!$O$3),"Yes","No")</f>
        <v>Yes</v>
      </c>
      <c r="AB844">
        <v>2025</v>
      </c>
      <c r="AC844">
        <v>18</v>
      </c>
      <c r="AD844">
        <f ca="1">IF(ISERROR(VLOOKUP(Table1[[#This Row],[item]],INDIRECT("'"&amp;Table1[[#This Row],[sheet]]&amp;"'!$A$8:$T$42"),Table1[[#This Row],[r]],FALSE)),"",VLOOKUP(Table1[[#This Row],[item]],INDIRECT("'"&amp;Table1[[#This Row],[sheet]]&amp;"'!$A$8:$T$42"),Table1[[#This Row],[r]],FALSE))</f>
        <v>0</v>
      </c>
      <c r="AE844">
        <f>IF(VLOOKUP(Table1[[#This Row],[sheet]],Prg!$A$7:$J$31,10,FALSE)="","",VLOOKUP(Table1[[#This Row],[sheet]],Prg!$A$7:$J$31,10,FALSE)*1)</f>
        <v>1</v>
      </c>
      <c r="AF844" t="str">
        <f>VLOOKUP(Table1[[#This Row],[sheet]],Prg!$A$7:$J$31,5,FALSE)</f>
        <v>NIGER REP</v>
      </c>
      <c r="AG844">
        <f>ROW()</f>
        <v>844</v>
      </c>
    </row>
    <row r="845" spans="24:33" hidden="1" x14ac:dyDescent="0.25">
      <c r="X845">
        <v>5</v>
      </c>
      <c r="Y845" t="s">
        <v>783</v>
      </c>
      <c r="Z845" t="s">
        <v>784</v>
      </c>
      <c r="AA845" t="str">
        <f>IF(OR(VLOOKUP(Table1[[#This Row],[sheet]],Prg!$A$7:$F$31,6,FALSE)=Prg!$O$2,VLOOKUP(Table1[[#This Row],[sheet]],Prg!$A$7:$F$31,6,FALSE)=Prg!$O$3),"Yes","No")</f>
        <v>Yes</v>
      </c>
      <c r="AB845">
        <v>2025</v>
      </c>
      <c r="AC845">
        <v>18</v>
      </c>
      <c r="AD845">
        <f ca="1">IF(ISERROR(VLOOKUP(Table1[[#This Row],[item]],INDIRECT("'"&amp;Table1[[#This Row],[sheet]]&amp;"'!$A$8:$T$42"),Table1[[#This Row],[r]],FALSE)),"",VLOOKUP(Table1[[#This Row],[item]],INDIRECT("'"&amp;Table1[[#This Row],[sheet]]&amp;"'!$A$8:$T$42"),Table1[[#This Row],[r]],FALSE))</f>
        <v>0</v>
      </c>
      <c r="AE845">
        <f>IF(VLOOKUP(Table1[[#This Row],[sheet]],Prg!$A$7:$J$31,10,FALSE)="","",VLOOKUP(Table1[[#This Row],[sheet]],Prg!$A$7:$J$31,10,FALSE)*1)</f>
        <v>1</v>
      </c>
      <c r="AF845" t="str">
        <f>VLOOKUP(Table1[[#This Row],[sheet]],Prg!$A$7:$J$31,5,FALSE)</f>
        <v>NIGER REP</v>
      </c>
      <c r="AG845">
        <f>ROW()</f>
        <v>845</v>
      </c>
    </row>
    <row r="846" spans="24:33" hidden="1" x14ac:dyDescent="0.25">
      <c r="X846">
        <v>5</v>
      </c>
      <c r="Y846" t="s">
        <v>785</v>
      </c>
      <c r="Z846" t="s">
        <v>786</v>
      </c>
      <c r="AA846" t="str">
        <f>IF(OR(VLOOKUP(Table1[[#This Row],[sheet]],Prg!$A$7:$F$31,6,FALSE)=Prg!$O$2,VLOOKUP(Table1[[#This Row],[sheet]],Prg!$A$7:$F$31,6,FALSE)=Prg!$O$3),"Yes","No")</f>
        <v>Yes</v>
      </c>
      <c r="AB846">
        <v>2025</v>
      </c>
      <c r="AC846">
        <v>18</v>
      </c>
      <c r="AD846">
        <f ca="1">IF(ISERROR(VLOOKUP(Table1[[#This Row],[item]],INDIRECT("'"&amp;Table1[[#This Row],[sheet]]&amp;"'!$A$8:$T$42"),Table1[[#This Row],[r]],FALSE)),"",VLOOKUP(Table1[[#This Row],[item]],INDIRECT("'"&amp;Table1[[#This Row],[sheet]]&amp;"'!$A$8:$T$42"),Table1[[#This Row],[r]],FALSE))</f>
        <v>199369.84</v>
      </c>
      <c r="AE846">
        <f>IF(VLOOKUP(Table1[[#This Row],[sheet]],Prg!$A$7:$J$31,10,FALSE)="","",VLOOKUP(Table1[[#This Row],[sheet]],Prg!$A$7:$J$31,10,FALSE)*1)</f>
        <v>1</v>
      </c>
      <c r="AF846" t="str">
        <f>VLOOKUP(Table1[[#This Row],[sheet]],Prg!$A$7:$J$31,5,FALSE)</f>
        <v>NIGER REP</v>
      </c>
      <c r="AG846">
        <f>ROW()</f>
        <v>846</v>
      </c>
    </row>
    <row r="847" spans="24:33" hidden="1" x14ac:dyDescent="0.25">
      <c r="X847">
        <v>5</v>
      </c>
      <c r="Y847" t="s">
        <v>787</v>
      </c>
      <c r="Z847" t="s">
        <v>633</v>
      </c>
      <c r="AA847" t="str">
        <f>IF(OR(VLOOKUP(Table1[[#This Row],[sheet]],Prg!$A$7:$F$31,6,FALSE)=Prg!$O$2,VLOOKUP(Table1[[#This Row],[sheet]],Prg!$A$7:$F$31,6,FALSE)=Prg!$O$3),"Yes","No")</f>
        <v>Yes</v>
      </c>
      <c r="AB847">
        <v>2025</v>
      </c>
      <c r="AC847">
        <v>18</v>
      </c>
      <c r="AD847">
        <f ca="1">IF(ISERROR(VLOOKUP(Table1[[#This Row],[item]],INDIRECT("'"&amp;Table1[[#This Row],[sheet]]&amp;"'!$A$8:$T$42"),Table1[[#This Row],[r]],FALSE)),"",VLOOKUP(Table1[[#This Row],[item]],INDIRECT("'"&amp;Table1[[#This Row],[sheet]]&amp;"'!$A$8:$T$42"),Table1[[#This Row],[r]],FALSE))</f>
        <v>0</v>
      </c>
      <c r="AE847">
        <f>IF(VLOOKUP(Table1[[#This Row],[sheet]],Prg!$A$7:$J$31,10,FALSE)="","",VLOOKUP(Table1[[#This Row],[sheet]],Prg!$A$7:$J$31,10,FALSE)*1)</f>
        <v>1</v>
      </c>
      <c r="AF847" t="str">
        <f>VLOOKUP(Table1[[#This Row],[sheet]],Prg!$A$7:$J$31,5,FALSE)</f>
        <v>NIGER REP</v>
      </c>
      <c r="AG847">
        <f>ROW()</f>
        <v>847</v>
      </c>
    </row>
    <row r="848" spans="24:33" hidden="1" x14ac:dyDescent="0.25">
      <c r="X848">
        <v>5</v>
      </c>
      <c r="Y848" s="53" t="s">
        <v>753</v>
      </c>
      <c r="Z848" s="53" t="s">
        <v>162</v>
      </c>
      <c r="AA848" s="53" t="str">
        <f>IF(OR(VLOOKUP(Table1[[#This Row],[sheet]],Prg!$A$7:$F$31,6,FALSE)=Prg!$O$2,VLOOKUP(Table1[[#This Row],[sheet]],Prg!$A$7:$F$31,6,FALSE)=Prg!$O$3),"Yes","No")</f>
        <v>Yes</v>
      </c>
      <c r="AB848" s="53">
        <v>2026</v>
      </c>
      <c r="AC848">
        <v>19</v>
      </c>
      <c r="AD848">
        <f ca="1">IF(ISERROR(VLOOKUP(Table1[[#This Row],[item]],INDIRECT("'"&amp;Table1[[#This Row],[sheet]]&amp;"'!$A$8:$T$42"),Table1[[#This Row],[r]],FALSE)),"",VLOOKUP(Table1[[#This Row],[item]],INDIRECT("'"&amp;Table1[[#This Row],[sheet]]&amp;"'!$A$8:$T$42"),Table1[[#This Row],[r]],FALSE))</f>
        <v>232256.27000000002</v>
      </c>
      <c r="AE848">
        <f>IF(VLOOKUP(Table1[[#This Row],[sheet]],Prg!$A$7:$J$31,10,FALSE)="","",VLOOKUP(Table1[[#This Row],[sheet]],Prg!$A$7:$J$31,10,FALSE)*1)</f>
        <v>1</v>
      </c>
      <c r="AF848" t="str">
        <f>VLOOKUP(Table1[[#This Row],[sheet]],Prg!$A$7:$J$31,5,FALSE)</f>
        <v>NIGER REP</v>
      </c>
      <c r="AG848">
        <f>ROW()</f>
        <v>848</v>
      </c>
    </row>
    <row r="849" spans="24:33" hidden="1" x14ac:dyDescent="0.25">
      <c r="X849">
        <v>5</v>
      </c>
      <c r="Y849" t="s">
        <v>754</v>
      </c>
      <c r="Z849" t="s">
        <v>164</v>
      </c>
      <c r="AA849" t="str">
        <f>IF(OR(VLOOKUP(Table1[[#This Row],[sheet]],Prg!$A$7:$F$31,6,FALSE)=Prg!$O$2,VLOOKUP(Table1[[#This Row],[sheet]],Prg!$A$7:$F$31,6,FALSE)=Prg!$O$3),"Yes","No")</f>
        <v>Yes</v>
      </c>
      <c r="AB849">
        <v>2026</v>
      </c>
      <c r="AC849">
        <v>19</v>
      </c>
      <c r="AD849">
        <f ca="1">IF(ISERROR(VLOOKUP(Table1[[#This Row],[item]],INDIRECT("'"&amp;Table1[[#This Row],[sheet]]&amp;"'!$A$8:$T$42"),Table1[[#This Row],[r]],FALSE)),"",VLOOKUP(Table1[[#This Row],[item]],INDIRECT("'"&amp;Table1[[#This Row],[sheet]]&amp;"'!$A$8:$T$42"),Table1[[#This Row],[r]],FALSE))</f>
        <v>0</v>
      </c>
      <c r="AE849">
        <f>IF(VLOOKUP(Table1[[#This Row],[sheet]],Prg!$A$7:$J$31,10,FALSE)="","",VLOOKUP(Table1[[#This Row],[sheet]],Prg!$A$7:$J$31,10,FALSE)*1)</f>
        <v>1</v>
      </c>
      <c r="AF849" t="str">
        <f>VLOOKUP(Table1[[#This Row],[sheet]],Prg!$A$7:$J$31,5,FALSE)</f>
        <v>NIGER REP</v>
      </c>
      <c r="AG849">
        <f>ROW()</f>
        <v>849</v>
      </c>
    </row>
    <row r="850" spans="24:33" hidden="1" x14ac:dyDescent="0.25">
      <c r="X850">
        <v>5</v>
      </c>
      <c r="Y850" t="s">
        <v>755</v>
      </c>
      <c r="Z850" t="s">
        <v>166</v>
      </c>
      <c r="AA850" t="str">
        <f>IF(OR(VLOOKUP(Table1[[#This Row],[sheet]],Prg!$A$7:$F$31,6,FALSE)=Prg!$O$2,VLOOKUP(Table1[[#This Row],[sheet]],Prg!$A$7:$F$31,6,FALSE)=Prg!$O$3),"Yes","No")</f>
        <v>Yes</v>
      </c>
      <c r="AB850">
        <v>2026</v>
      </c>
      <c r="AC850">
        <v>19</v>
      </c>
      <c r="AD850">
        <f ca="1">IF(ISERROR(VLOOKUP(Table1[[#This Row],[item]],INDIRECT("'"&amp;Table1[[#This Row],[sheet]]&amp;"'!$A$8:$T$42"),Table1[[#This Row],[r]],FALSE)),"",VLOOKUP(Table1[[#This Row],[item]],INDIRECT("'"&amp;Table1[[#This Row],[sheet]]&amp;"'!$A$8:$T$42"),Table1[[#This Row],[r]],FALSE))</f>
        <v>151671.72</v>
      </c>
      <c r="AE850">
        <f>IF(VLOOKUP(Table1[[#This Row],[sheet]],Prg!$A$7:$J$31,10,FALSE)="","",VLOOKUP(Table1[[#This Row],[sheet]],Prg!$A$7:$J$31,10,FALSE)*1)</f>
        <v>1</v>
      </c>
      <c r="AF850" t="str">
        <f>VLOOKUP(Table1[[#This Row],[sheet]],Prg!$A$7:$J$31,5,FALSE)</f>
        <v>NIGER REP</v>
      </c>
      <c r="AG850">
        <f>ROW()</f>
        <v>850</v>
      </c>
    </row>
    <row r="851" spans="24:33" hidden="1" x14ac:dyDescent="0.25">
      <c r="X851">
        <v>5</v>
      </c>
      <c r="Y851" t="s">
        <v>756</v>
      </c>
      <c r="Z851" t="s">
        <v>757</v>
      </c>
      <c r="AA851" t="str">
        <f>IF(OR(VLOOKUP(Table1[[#This Row],[sheet]],Prg!$A$7:$F$31,6,FALSE)=Prg!$O$2,VLOOKUP(Table1[[#This Row],[sheet]],Prg!$A$7:$F$31,6,FALSE)=Prg!$O$3),"Yes","No")</f>
        <v>Yes</v>
      </c>
      <c r="AB851">
        <v>2026</v>
      </c>
      <c r="AC851">
        <v>19</v>
      </c>
      <c r="AD851">
        <f ca="1">IF(ISERROR(VLOOKUP(Table1[[#This Row],[item]],INDIRECT("'"&amp;Table1[[#This Row],[sheet]]&amp;"'!$A$8:$T$42"),Table1[[#This Row],[r]],FALSE)),"",VLOOKUP(Table1[[#This Row],[item]],INDIRECT("'"&amp;Table1[[#This Row],[sheet]]&amp;"'!$A$8:$T$42"),Table1[[#This Row],[r]],FALSE))</f>
        <v>80584.55</v>
      </c>
      <c r="AE851">
        <f>IF(VLOOKUP(Table1[[#This Row],[sheet]],Prg!$A$7:$J$31,10,FALSE)="","",VLOOKUP(Table1[[#This Row],[sheet]],Prg!$A$7:$J$31,10,FALSE)*1)</f>
        <v>1</v>
      </c>
      <c r="AF851" t="str">
        <f>VLOOKUP(Table1[[#This Row],[sheet]],Prg!$A$7:$J$31,5,FALSE)</f>
        <v>NIGER REP</v>
      </c>
      <c r="AG851">
        <f>ROW()</f>
        <v>851</v>
      </c>
    </row>
    <row r="852" spans="24:33" hidden="1" x14ac:dyDescent="0.25">
      <c r="X852">
        <v>5</v>
      </c>
      <c r="Y852" t="s">
        <v>758</v>
      </c>
      <c r="Z852" t="s">
        <v>170</v>
      </c>
      <c r="AA852" t="str">
        <f>IF(OR(VLOOKUP(Table1[[#This Row],[sheet]],Prg!$A$7:$F$31,6,FALSE)=Prg!$O$2,VLOOKUP(Table1[[#This Row],[sheet]],Prg!$A$7:$F$31,6,FALSE)=Prg!$O$3),"Yes","No")</f>
        <v>Yes</v>
      </c>
      <c r="AB852">
        <v>2026</v>
      </c>
      <c r="AC852">
        <v>19</v>
      </c>
      <c r="AD852">
        <f ca="1">IF(ISERROR(VLOOKUP(Table1[[#This Row],[item]],INDIRECT("'"&amp;Table1[[#This Row],[sheet]]&amp;"'!$A$8:$T$42"),Table1[[#This Row],[r]],FALSE)),"",VLOOKUP(Table1[[#This Row],[item]],INDIRECT("'"&amp;Table1[[#This Row],[sheet]]&amp;"'!$A$8:$T$42"),Table1[[#This Row],[r]],FALSE))</f>
        <v>0</v>
      </c>
      <c r="AE852">
        <f>IF(VLOOKUP(Table1[[#This Row],[sheet]],Prg!$A$7:$J$31,10,FALSE)="","",VLOOKUP(Table1[[#This Row],[sheet]],Prg!$A$7:$J$31,10,FALSE)*1)</f>
        <v>1</v>
      </c>
      <c r="AF852" t="str">
        <f>VLOOKUP(Table1[[#This Row],[sheet]],Prg!$A$7:$J$31,5,FALSE)</f>
        <v>NIGER REP</v>
      </c>
      <c r="AG852">
        <f>ROW()</f>
        <v>852</v>
      </c>
    </row>
    <row r="853" spans="24:33" hidden="1" x14ac:dyDescent="0.25">
      <c r="X853">
        <v>5</v>
      </c>
      <c r="Y853" t="s">
        <v>759</v>
      </c>
      <c r="Z853" t="s">
        <v>172</v>
      </c>
      <c r="AA853" t="str">
        <f>IF(OR(VLOOKUP(Table1[[#This Row],[sheet]],Prg!$A$7:$F$31,6,FALSE)=Prg!$O$2,VLOOKUP(Table1[[#This Row],[sheet]],Prg!$A$7:$F$31,6,FALSE)=Prg!$O$3),"Yes","No")</f>
        <v>Yes</v>
      </c>
      <c r="AB853">
        <v>2026</v>
      </c>
      <c r="AC853">
        <v>19</v>
      </c>
      <c r="AD853">
        <f ca="1">IF(ISERROR(VLOOKUP(Table1[[#This Row],[item]],INDIRECT("'"&amp;Table1[[#This Row],[sheet]]&amp;"'!$A$8:$T$42"),Table1[[#This Row],[r]],FALSE)),"",VLOOKUP(Table1[[#This Row],[item]],INDIRECT("'"&amp;Table1[[#This Row],[sheet]]&amp;"'!$A$8:$T$42"),Table1[[#This Row],[r]],FALSE))</f>
        <v>0</v>
      </c>
      <c r="AE853">
        <f>IF(VLOOKUP(Table1[[#This Row],[sheet]],Prg!$A$7:$J$31,10,FALSE)="","",VLOOKUP(Table1[[#This Row],[sheet]],Prg!$A$7:$J$31,10,FALSE)*1)</f>
        <v>1</v>
      </c>
      <c r="AF853" t="str">
        <f>VLOOKUP(Table1[[#This Row],[sheet]],Prg!$A$7:$J$31,5,FALSE)</f>
        <v>NIGER REP</v>
      </c>
      <c r="AG853">
        <f>ROW()</f>
        <v>853</v>
      </c>
    </row>
    <row r="854" spans="24:33" hidden="1" x14ac:dyDescent="0.25">
      <c r="X854">
        <v>5</v>
      </c>
      <c r="Y854" t="s">
        <v>760</v>
      </c>
      <c r="Z854" t="s">
        <v>174</v>
      </c>
      <c r="AA854" t="str">
        <f>IF(OR(VLOOKUP(Table1[[#This Row],[sheet]],Prg!$A$7:$F$31,6,FALSE)=Prg!$O$2,VLOOKUP(Table1[[#This Row],[sheet]],Prg!$A$7:$F$31,6,FALSE)=Prg!$O$3),"Yes","No")</f>
        <v>Yes</v>
      </c>
      <c r="AB854">
        <v>2026</v>
      </c>
      <c r="AC854">
        <v>19</v>
      </c>
      <c r="AD854">
        <f ca="1">IF(ISERROR(VLOOKUP(Table1[[#This Row],[item]],INDIRECT("'"&amp;Table1[[#This Row],[sheet]]&amp;"'!$A$8:$T$42"),Table1[[#This Row],[r]],FALSE)),"",VLOOKUP(Table1[[#This Row],[item]],INDIRECT("'"&amp;Table1[[#This Row],[sheet]]&amp;"'!$A$8:$T$42"),Table1[[#This Row],[r]],FALSE))</f>
        <v>0</v>
      </c>
      <c r="AE854">
        <f>IF(VLOOKUP(Table1[[#This Row],[sheet]],Prg!$A$7:$J$31,10,FALSE)="","",VLOOKUP(Table1[[#This Row],[sheet]],Prg!$A$7:$J$31,10,FALSE)*1)</f>
        <v>1</v>
      </c>
      <c r="AF854" t="str">
        <f>VLOOKUP(Table1[[#This Row],[sheet]],Prg!$A$7:$J$31,5,FALSE)</f>
        <v>NIGER REP</v>
      </c>
      <c r="AG854">
        <f>ROW()</f>
        <v>854</v>
      </c>
    </row>
    <row r="855" spans="24:33" hidden="1" x14ac:dyDescent="0.25">
      <c r="X855">
        <v>5</v>
      </c>
      <c r="Y855" t="s">
        <v>761</v>
      </c>
      <c r="Z855" t="s">
        <v>762</v>
      </c>
      <c r="AA855" t="str">
        <f>IF(OR(VLOOKUP(Table1[[#This Row],[sheet]],Prg!$A$7:$F$31,6,FALSE)=Prg!$O$2,VLOOKUP(Table1[[#This Row],[sheet]],Prg!$A$7:$F$31,6,FALSE)=Prg!$O$3),"Yes","No")</f>
        <v>Yes</v>
      </c>
      <c r="AB855">
        <v>2026</v>
      </c>
      <c r="AC855">
        <v>19</v>
      </c>
      <c r="AD855">
        <f ca="1">IF(ISERROR(VLOOKUP(Table1[[#This Row],[item]],INDIRECT("'"&amp;Table1[[#This Row],[sheet]]&amp;"'!$A$8:$T$42"),Table1[[#This Row],[r]],FALSE)),"",VLOOKUP(Table1[[#This Row],[item]],INDIRECT("'"&amp;Table1[[#This Row],[sheet]]&amp;"'!$A$8:$T$42"),Table1[[#This Row],[r]],FALSE))</f>
        <v>0</v>
      </c>
      <c r="AE855">
        <f>IF(VLOOKUP(Table1[[#This Row],[sheet]],Prg!$A$7:$J$31,10,FALSE)="","",VLOOKUP(Table1[[#This Row],[sheet]],Prg!$A$7:$J$31,10,FALSE)*1)</f>
        <v>1</v>
      </c>
      <c r="AF855" t="str">
        <f>VLOOKUP(Table1[[#This Row],[sheet]],Prg!$A$7:$J$31,5,FALSE)</f>
        <v>NIGER REP</v>
      </c>
      <c r="AG855">
        <f>ROW()</f>
        <v>855</v>
      </c>
    </row>
    <row r="856" spans="24:33" hidden="1" x14ac:dyDescent="0.25">
      <c r="X856">
        <v>5</v>
      </c>
      <c r="Y856" t="s">
        <v>763</v>
      </c>
      <c r="Z856" t="s">
        <v>178</v>
      </c>
      <c r="AA856" t="str">
        <f>IF(OR(VLOOKUP(Table1[[#This Row],[sheet]],Prg!$A$7:$F$31,6,FALSE)=Prg!$O$2,VLOOKUP(Table1[[#This Row],[sheet]],Prg!$A$7:$F$31,6,FALSE)=Prg!$O$3),"Yes","No")</f>
        <v>Yes</v>
      </c>
      <c r="AB856">
        <v>2026</v>
      </c>
      <c r="AC856">
        <v>19</v>
      </c>
      <c r="AD856">
        <f ca="1">IF(ISERROR(VLOOKUP(Table1[[#This Row],[item]],INDIRECT("'"&amp;Table1[[#This Row],[sheet]]&amp;"'!$A$8:$T$42"),Table1[[#This Row],[r]],FALSE)),"",VLOOKUP(Table1[[#This Row],[item]],INDIRECT("'"&amp;Table1[[#This Row],[sheet]]&amp;"'!$A$8:$T$42"),Table1[[#This Row],[r]],FALSE))</f>
        <v>124364.92</v>
      </c>
      <c r="AE856">
        <f>IF(VLOOKUP(Table1[[#This Row],[sheet]],Prg!$A$7:$J$31,10,FALSE)="","",VLOOKUP(Table1[[#This Row],[sheet]],Prg!$A$7:$J$31,10,FALSE)*1)</f>
        <v>1</v>
      </c>
      <c r="AF856" t="str">
        <f>VLOOKUP(Table1[[#This Row],[sheet]],Prg!$A$7:$J$31,5,FALSE)</f>
        <v>NIGER REP</v>
      </c>
      <c r="AG856">
        <f>ROW()</f>
        <v>856</v>
      </c>
    </row>
    <row r="857" spans="24:33" hidden="1" x14ac:dyDescent="0.25">
      <c r="X857">
        <v>5</v>
      </c>
      <c r="Y857" t="s">
        <v>764</v>
      </c>
      <c r="Z857" t="s">
        <v>109</v>
      </c>
      <c r="AA857" t="str">
        <f>IF(OR(VLOOKUP(Table1[[#This Row],[sheet]],Prg!$A$7:$F$31,6,FALSE)=Prg!$O$2,VLOOKUP(Table1[[#This Row],[sheet]],Prg!$A$7:$F$31,6,FALSE)=Prg!$O$3),"Yes","No")</f>
        <v>Yes</v>
      </c>
      <c r="AB857">
        <v>2026</v>
      </c>
      <c r="AC857">
        <v>19</v>
      </c>
      <c r="AD857">
        <f ca="1">IF(ISERROR(VLOOKUP(Table1[[#This Row],[item]],INDIRECT("'"&amp;Table1[[#This Row],[sheet]]&amp;"'!$A$8:$T$42"),Table1[[#This Row],[r]],FALSE)),"",VLOOKUP(Table1[[#This Row],[item]],INDIRECT("'"&amp;Table1[[#This Row],[sheet]]&amp;"'!$A$8:$T$42"),Table1[[#This Row],[r]],FALSE))</f>
        <v>0</v>
      </c>
      <c r="AE857">
        <f>IF(VLOOKUP(Table1[[#This Row],[sheet]],Prg!$A$7:$J$31,10,FALSE)="","",VLOOKUP(Table1[[#This Row],[sheet]],Prg!$A$7:$J$31,10,FALSE)*1)</f>
        <v>1</v>
      </c>
      <c r="AF857" t="str">
        <f>VLOOKUP(Table1[[#This Row],[sheet]],Prg!$A$7:$J$31,5,FALSE)</f>
        <v>NIGER REP</v>
      </c>
      <c r="AG857">
        <f>ROW()</f>
        <v>857</v>
      </c>
    </row>
    <row r="858" spans="24:33" hidden="1" x14ac:dyDescent="0.25">
      <c r="X858">
        <v>5</v>
      </c>
      <c r="Y858" t="s">
        <v>765</v>
      </c>
      <c r="Z858" t="s">
        <v>117</v>
      </c>
      <c r="AA858" t="str">
        <f>IF(OR(VLOOKUP(Table1[[#This Row],[sheet]],Prg!$A$7:$F$31,6,FALSE)=Prg!$O$2,VLOOKUP(Table1[[#This Row],[sheet]],Prg!$A$7:$F$31,6,FALSE)=Prg!$O$3),"Yes","No")</f>
        <v>Yes</v>
      </c>
      <c r="AB858">
        <v>2026</v>
      </c>
      <c r="AC858">
        <v>19</v>
      </c>
      <c r="AD858">
        <f ca="1">IF(ISERROR(VLOOKUP(Table1[[#This Row],[item]],INDIRECT("'"&amp;Table1[[#This Row],[sheet]]&amp;"'!$A$8:$T$42"),Table1[[#This Row],[r]],FALSE)),"",VLOOKUP(Table1[[#This Row],[item]],INDIRECT("'"&amp;Table1[[#This Row],[sheet]]&amp;"'!$A$8:$T$42"),Table1[[#This Row],[r]],FALSE))</f>
        <v>5579.63</v>
      </c>
      <c r="AE858">
        <f>IF(VLOOKUP(Table1[[#This Row],[sheet]],Prg!$A$7:$J$31,10,FALSE)="","",VLOOKUP(Table1[[#This Row],[sheet]],Prg!$A$7:$J$31,10,FALSE)*1)</f>
        <v>1</v>
      </c>
      <c r="AF858" t="str">
        <f>VLOOKUP(Table1[[#This Row],[sheet]],Prg!$A$7:$J$31,5,FALSE)</f>
        <v>NIGER REP</v>
      </c>
      <c r="AG858">
        <f>ROW()</f>
        <v>858</v>
      </c>
    </row>
    <row r="859" spans="24:33" hidden="1" x14ac:dyDescent="0.25">
      <c r="X859">
        <v>5</v>
      </c>
      <c r="Y859" t="s">
        <v>766</v>
      </c>
      <c r="Z859" t="s">
        <v>767</v>
      </c>
      <c r="AA859" t="str">
        <f>IF(OR(VLOOKUP(Table1[[#This Row],[sheet]],Prg!$A$7:$F$31,6,FALSE)=Prg!$O$2,VLOOKUP(Table1[[#This Row],[sheet]],Prg!$A$7:$F$31,6,FALSE)=Prg!$O$3),"Yes","No")</f>
        <v>Yes</v>
      </c>
      <c r="AB859">
        <v>2026</v>
      </c>
      <c r="AC859">
        <v>19</v>
      </c>
      <c r="AD859">
        <f ca="1">IF(ISERROR(VLOOKUP(Table1[[#This Row],[item]],INDIRECT("'"&amp;Table1[[#This Row],[sheet]]&amp;"'!$A$8:$T$42"),Table1[[#This Row],[r]],FALSE)),"",VLOOKUP(Table1[[#This Row],[item]],INDIRECT("'"&amp;Table1[[#This Row],[sheet]]&amp;"'!$A$8:$T$42"),Table1[[#This Row],[r]],FALSE))</f>
        <v>118785.29</v>
      </c>
      <c r="AE859">
        <f>IF(VLOOKUP(Table1[[#This Row],[sheet]],Prg!$A$7:$J$31,10,FALSE)="","",VLOOKUP(Table1[[#This Row],[sheet]],Prg!$A$7:$J$31,10,FALSE)*1)</f>
        <v>1</v>
      </c>
      <c r="AF859" t="str">
        <f>VLOOKUP(Table1[[#This Row],[sheet]],Prg!$A$7:$J$31,5,FALSE)</f>
        <v>NIGER REP</v>
      </c>
      <c r="AG859">
        <f>ROW()</f>
        <v>859</v>
      </c>
    </row>
    <row r="860" spans="24:33" hidden="1" x14ac:dyDescent="0.25">
      <c r="X860">
        <v>5</v>
      </c>
      <c r="Y860" t="s">
        <v>768</v>
      </c>
      <c r="Z860" t="s">
        <v>182</v>
      </c>
      <c r="AA860" t="str">
        <f>IF(OR(VLOOKUP(Table1[[#This Row],[sheet]],Prg!$A$7:$F$31,6,FALSE)=Prg!$O$2,VLOOKUP(Table1[[#This Row],[sheet]],Prg!$A$7:$F$31,6,FALSE)=Prg!$O$3),"Yes","No")</f>
        <v>Yes</v>
      </c>
      <c r="AB860">
        <v>2026</v>
      </c>
      <c r="AC860">
        <v>19</v>
      </c>
      <c r="AD860">
        <f ca="1">IF(ISERROR(VLOOKUP(Table1[[#This Row],[item]],INDIRECT("'"&amp;Table1[[#This Row],[sheet]]&amp;"'!$A$8:$T$42"),Table1[[#This Row],[r]],FALSE)),"",VLOOKUP(Table1[[#This Row],[item]],INDIRECT("'"&amp;Table1[[#This Row],[sheet]]&amp;"'!$A$8:$T$42"),Table1[[#This Row],[r]],FALSE))</f>
        <v>4000</v>
      </c>
      <c r="AE860">
        <f>IF(VLOOKUP(Table1[[#This Row],[sheet]],Prg!$A$7:$J$31,10,FALSE)="","",VLOOKUP(Table1[[#This Row],[sheet]],Prg!$A$7:$J$31,10,FALSE)*1)</f>
        <v>1</v>
      </c>
      <c r="AF860" t="str">
        <f>VLOOKUP(Table1[[#This Row],[sheet]],Prg!$A$7:$J$31,5,FALSE)</f>
        <v>NIGER REP</v>
      </c>
      <c r="AG860">
        <f>ROW()</f>
        <v>860</v>
      </c>
    </row>
    <row r="861" spans="24:33" hidden="1" x14ac:dyDescent="0.25">
      <c r="X861">
        <v>5</v>
      </c>
      <c r="Y861" t="s">
        <v>769</v>
      </c>
      <c r="Z861" t="s">
        <v>184</v>
      </c>
      <c r="AA861" t="str">
        <f>IF(OR(VLOOKUP(Table1[[#This Row],[sheet]],Prg!$A$7:$F$31,6,FALSE)=Prg!$O$2,VLOOKUP(Table1[[#This Row],[sheet]],Prg!$A$7:$F$31,6,FALSE)=Prg!$O$3),"Yes","No")</f>
        <v>Yes</v>
      </c>
      <c r="AB861">
        <v>2026</v>
      </c>
      <c r="AC861">
        <v>19</v>
      </c>
      <c r="AD861">
        <f ca="1">IF(ISERROR(VLOOKUP(Table1[[#This Row],[item]],INDIRECT("'"&amp;Table1[[#This Row],[sheet]]&amp;"'!$A$8:$T$42"),Table1[[#This Row],[r]],FALSE)),"",VLOOKUP(Table1[[#This Row],[item]],INDIRECT("'"&amp;Table1[[#This Row],[sheet]]&amp;"'!$A$8:$T$42"),Table1[[#This Row],[r]],FALSE))</f>
        <v>0</v>
      </c>
      <c r="AE861">
        <f>IF(VLOOKUP(Table1[[#This Row],[sheet]],Prg!$A$7:$J$31,10,FALSE)="","",VLOOKUP(Table1[[#This Row],[sheet]],Prg!$A$7:$J$31,10,FALSE)*1)</f>
        <v>1</v>
      </c>
      <c r="AF861" t="str">
        <f>VLOOKUP(Table1[[#This Row],[sheet]],Prg!$A$7:$J$31,5,FALSE)</f>
        <v>NIGER REP</v>
      </c>
      <c r="AG861">
        <f>ROW()</f>
        <v>861</v>
      </c>
    </row>
    <row r="862" spans="24:33" hidden="1" x14ac:dyDescent="0.25">
      <c r="X862">
        <v>5</v>
      </c>
      <c r="Y862" t="s">
        <v>770</v>
      </c>
      <c r="Z862" t="s">
        <v>186</v>
      </c>
      <c r="AA862" t="str">
        <f>IF(OR(VLOOKUP(Table1[[#This Row],[sheet]],Prg!$A$7:$F$31,6,FALSE)=Prg!$O$2,VLOOKUP(Table1[[#This Row],[sheet]],Prg!$A$7:$F$31,6,FALSE)=Prg!$O$3),"Yes","No")</f>
        <v>Yes</v>
      </c>
      <c r="AB862">
        <v>2026</v>
      </c>
      <c r="AC862">
        <v>19</v>
      </c>
      <c r="AD862">
        <f ca="1">IF(ISERROR(VLOOKUP(Table1[[#This Row],[item]],INDIRECT("'"&amp;Table1[[#This Row],[sheet]]&amp;"'!$A$8:$T$42"),Table1[[#This Row],[r]],FALSE)),"",VLOOKUP(Table1[[#This Row],[item]],INDIRECT("'"&amp;Table1[[#This Row],[sheet]]&amp;"'!$A$8:$T$42"),Table1[[#This Row],[r]],FALSE))</f>
        <v>4000</v>
      </c>
      <c r="AE862">
        <f>IF(VLOOKUP(Table1[[#This Row],[sheet]],Prg!$A$7:$J$31,10,FALSE)="","",VLOOKUP(Table1[[#This Row],[sheet]],Prg!$A$7:$J$31,10,FALSE)*1)</f>
        <v>1</v>
      </c>
      <c r="AF862" t="str">
        <f>VLOOKUP(Table1[[#This Row],[sheet]],Prg!$A$7:$J$31,5,FALSE)</f>
        <v>NIGER REP</v>
      </c>
      <c r="AG862">
        <f>ROW()</f>
        <v>862</v>
      </c>
    </row>
    <row r="863" spans="24:33" hidden="1" x14ac:dyDescent="0.25">
      <c r="X863">
        <v>5</v>
      </c>
      <c r="Y863" t="s">
        <v>771</v>
      </c>
      <c r="Z863" t="s">
        <v>772</v>
      </c>
      <c r="AA863" t="str">
        <f>IF(OR(VLOOKUP(Table1[[#This Row],[sheet]],Prg!$A$7:$F$31,6,FALSE)=Prg!$O$2,VLOOKUP(Table1[[#This Row],[sheet]],Prg!$A$7:$F$31,6,FALSE)=Prg!$O$3),"Yes","No")</f>
        <v>Yes</v>
      </c>
      <c r="AB863">
        <v>2026</v>
      </c>
      <c r="AC863">
        <v>19</v>
      </c>
      <c r="AD863">
        <f ca="1">IF(ISERROR(VLOOKUP(Table1[[#This Row],[item]],INDIRECT("'"&amp;Table1[[#This Row],[sheet]]&amp;"'!$A$8:$T$42"),Table1[[#This Row],[r]],FALSE)),"",VLOOKUP(Table1[[#This Row],[item]],INDIRECT("'"&amp;Table1[[#This Row],[sheet]]&amp;"'!$A$8:$T$42"),Table1[[#This Row],[r]],FALSE))</f>
        <v>0</v>
      </c>
      <c r="AE863">
        <f>IF(VLOOKUP(Table1[[#This Row],[sheet]],Prg!$A$7:$J$31,10,FALSE)="","",VLOOKUP(Table1[[#This Row],[sheet]],Prg!$A$7:$J$31,10,FALSE)*1)</f>
        <v>1</v>
      </c>
      <c r="AF863" t="str">
        <f>VLOOKUP(Table1[[#This Row],[sheet]],Prg!$A$7:$J$31,5,FALSE)</f>
        <v>NIGER REP</v>
      </c>
      <c r="AG863">
        <f>ROW()</f>
        <v>863</v>
      </c>
    </row>
    <row r="864" spans="24:33" hidden="1" x14ac:dyDescent="0.25">
      <c r="X864">
        <v>5</v>
      </c>
      <c r="Y864" t="s">
        <v>773</v>
      </c>
      <c r="Z864" t="s">
        <v>190</v>
      </c>
      <c r="AA864" t="str">
        <f>IF(OR(VLOOKUP(Table1[[#This Row],[sheet]],Prg!$A$7:$F$31,6,FALSE)=Prg!$O$2,VLOOKUP(Table1[[#This Row],[sheet]],Prg!$A$7:$F$31,6,FALSE)=Prg!$O$3),"Yes","No")</f>
        <v>Yes</v>
      </c>
      <c r="AB864">
        <v>2026</v>
      </c>
      <c r="AC864">
        <v>19</v>
      </c>
      <c r="AD864">
        <f ca="1">IF(ISERROR(VLOOKUP(Table1[[#This Row],[item]],INDIRECT("'"&amp;Table1[[#This Row],[sheet]]&amp;"'!$A$8:$T$42"),Table1[[#This Row],[r]],FALSE)),"",VLOOKUP(Table1[[#This Row],[item]],INDIRECT("'"&amp;Table1[[#This Row],[sheet]]&amp;"'!$A$8:$T$42"),Table1[[#This Row],[r]],FALSE))</f>
        <v>360621.19</v>
      </c>
      <c r="AE864">
        <f>IF(VLOOKUP(Table1[[#This Row],[sheet]],Prg!$A$7:$J$31,10,FALSE)="","",VLOOKUP(Table1[[#This Row],[sheet]],Prg!$A$7:$J$31,10,FALSE)*1)</f>
        <v>1</v>
      </c>
      <c r="AF864" t="str">
        <f>VLOOKUP(Table1[[#This Row],[sheet]],Prg!$A$7:$J$31,5,FALSE)</f>
        <v>NIGER REP</v>
      </c>
      <c r="AG864">
        <f>ROW()</f>
        <v>864</v>
      </c>
    </row>
    <row r="865" spans="24:33" hidden="1" x14ac:dyDescent="0.25">
      <c r="X865">
        <v>5</v>
      </c>
      <c r="Y865" t="s">
        <v>709</v>
      </c>
      <c r="Z865" t="s">
        <v>192</v>
      </c>
      <c r="AA865" t="str">
        <f>IF(OR(VLOOKUP(Table1[[#This Row],[sheet]],Prg!$A$7:$F$31,6,FALSE)=Prg!$O$2,VLOOKUP(Table1[[#This Row],[sheet]],Prg!$A$7:$F$31,6,FALSE)=Prg!$O$3),"Yes","No")</f>
        <v>Yes</v>
      </c>
      <c r="AB865">
        <v>2026</v>
      </c>
      <c r="AC865">
        <v>19</v>
      </c>
      <c r="AD865">
        <f ca="1">IF(ISERROR(VLOOKUP(Table1[[#This Row],[item]],INDIRECT("'"&amp;Table1[[#This Row],[sheet]]&amp;"'!$A$8:$T$42"),Table1[[#This Row],[r]],FALSE)),"",VLOOKUP(Table1[[#This Row],[item]],INDIRECT("'"&amp;Table1[[#This Row],[sheet]]&amp;"'!$A$8:$T$42"),Table1[[#This Row],[r]],FALSE))</f>
        <v>0</v>
      </c>
      <c r="AE865">
        <f>IF(VLOOKUP(Table1[[#This Row],[sheet]],Prg!$A$7:$J$31,10,FALSE)="","",VLOOKUP(Table1[[#This Row],[sheet]],Prg!$A$7:$J$31,10,FALSE)*1)</f>
        <v>1</v>
      </c>
      <c r="AF865" t="str">
        <f>VLOOKUP(Table1[[#This Row],[sheet]],Prg!$A$7:$J$31,5,FALSE)</f>
        <v>NIGER REP</v>
      </c>
      <c r="AG865">
        <f>ROW()</f>
        <v>865</v>
      </c>
    </row>
    <row r="866" spans="24:33" hidden="1" x14ac:dyDescent="0.25">
      <c r="X866">
        <v>5</v>
      </c>
      <c r="Y866" t="s">
        <v>774</v>
      </c>
      <c r="Z866" t="s">
        <v>194</v>
      </c>
      <c r="AA866" t="str">
        <f>IF(OR(VLOOKUP(Table1[[#This Row],[sheet]],Prg!$A$7:$F$31,6,FALSE)=Prg!$O$2,VLOOKUP(Table1[[#This Row],[sheet]],Prg!$A$7:$F$31,6,FALSE)=Prg!$O$3),"Yes","No")</f>
        <v>Yes</v>
      </c>
      <c r="AB866">
        <v>2026</v>
      </c>
      <c r="AC866">
        <v>19</v>
      </c>
      <c r="AD866">
        <f ca="1">IF(ISERROR(VLOOKUP(Table1[[#This Row],[item]],INDIRECT("'"&amp;Table1[[#This Row],[sheet]]&amp;"'!$A$8:$T$42"),Table1[[#This Row],[r]],FALSE)),"",VLOOKUP(Table1[[#This Row],[item]],INDIRECT("'"&amp;Table1[[#This Row],[sheet]]&amp;"'!$A$8:$T$42"),Table1[[#This Row],[r]],FALSE))</f>
        <v>0</v>
      </c>
      <c r="AE866">
        <f>IF(VLOOKUP(Table1[[#This Row],[sheet]],Prg!$A$7:$J$31,10,FALSE)="","",VLOOKUP(Table1[[#This Row],[sheet]],Prg!$A$7:$J$31,10,FALSE)*1)</f>
        <v>1</v>
      </c>
      <c r="AF866" t="str">
        <f>VLOOKUP(Table1[[#This Row],[sheet]],Prg!$A$7:$J$31,5,FALSE)</f>
        <v>NIGER REP</v>
      </c>
      <c r="AG866">
        <f>ROW()</f>
        <v>866</v>
      </c>
    </row>
    <row r="867" spans="24:33" hidden="1" x14ac:dyDescent="0.25">
      <c r="X867">
        <v>5</v>
      </c>
      <c r="Y867" t="s">
        <v>775</v>
      </c>
      <c r="Z867" t="s">
        <v>196</v>
      </c>
      <c r="AA867" t="str">
        <f>IF(OR(VLOOKUP(Table1[[#This Row],[sheet]],Prg!$A$7:$F$31,6,FALSE)=Prg!$O$2,VLOOKUP(Table1[[#This Row],[sheet]],Prg!$A$7:$F$31,6,FALSE)=Prg!$O$3),"Yes","No")</f>
        <v>Yes</v>
      </c>
      <c r="AB867">
        <v>2026</v>
      </c>
      <c r="AC867">
        <v>19</v>
      </c>
      <c r="AD867">
        <f ca="1">IF(ISERROR(VLOOKUP(Table1[[#This Row],[item]],INDIRECT("'"&amp;Table1[[#This Row],[sheet]]&amp;"'!$A$8:$T$42"),Table1[[#This Row],[r]],FALSE)),"",VLOOKUP(Table1[[#This Row],[item]],INDIRECT("'"&amp;Table1[[#This Row],[sheet]]&amp;"'!$A$8:$T$42"),Table1[[#This Row],[r]],FALSE))</f>
        <v>0</v>
      </c>
      <c r="AE867">
        <f>IF(VLOOKUP(Table1[[#This Row],[sheet]],Prg!$A$7:$J$31,10,FALSE)="","",VLOOKUP(Table1[[#This Row],[sheet]],Prg!$A$7:$J$31,10,FALSE)*1)</f>
        <v>1</v>
      </c>
      <c r="AF867" t="str">
        <f>VLOOKUP(Table1[[#This Row],[sheet]],Prg!$A$7:$J$31,5,FALSE)</f>
        <v>NIGER REP</v>
      </c>
      <c r="AG867">
        <f>ROW()</f>
        <v>867</v>
      </c>
    </row>
    <row r="868" spans="24:33" hidden="1" x14ac:dyDescent="0.25">
      <c r="X868">
        <v>5</v>
      </c>
      <c r="Y868" t="s">
        <v>776</v>
      </c>
      <c r="Z868" t="s">
        <v>605</v>
      </c>
      <c r="AA868" t="str">
        <f>IF(OR(VLOOKUP(Table1[[#This Row],[sheet]],Prg!$A$7:$F$31,6,FALSE)=Prg!$O$2,VLOOKUP(Table1[[#This Row],[sheet]],Prg!$A$7:$F$31,6,FALSE)=Prg!$O$3),"Yes","No")</f>
        <v>Yes</v>
      </c>
      <c r="AB868">
        <v>2026</v>
      </c>
      <c r="AC868">
        <v>19</v>
      </c>
      <c r="AD868">
        <f ca="1">IF(ISERROR(VLOOKUP(Table1[[#This Row],[item]],INDIRECT("'"&amp;Table1[[#This Row],[sheet]]&amp;"'!$A$8:$T$42"),Table1[[#This Row],[r]],FALSE)),"",VLOOKUP(Table1[[#This Row],[item]],INDIRECT("'"&amp;Table1[[#This Row],[sheet]]&amp;"'!$A$8:$T$42"),Table1[[#This Row],[r]],FALSE))</f>
        <v>0</v>
      </c>
      <c r="AE868">
        <f>IF(VLOOKUP(Table1[[#This Row],[sheet]],Prg!$A$7:$J$31,10,FALSE)="","",VLOOKUP(Table1[[#This Row],[sheet]],Prg!$A$7:$J$31,10,FALSE)*1)</f>
        <v>1</v>
      </c>
      <c r="AF868" t="str">
        <f>VLOOKUP(Table1[[#This Row],[sheet]],Prg!$A$7:$J$31,5,FALSE)</f>
        <v>NIGER REP</v>
      </c>
      <c r="AG868">
        <f>ROW()</f>
        <v>868</v>
      </c>
    </row>
    <row r="869" spans="24:33" hidden="1" x14ac:dyDescent="0.25">
      <c r="X869">
        <v>5</v>
      </c>
      <c r="Y869" t="s">
        <v>711</v>
      </c>
      <c r="Z869" t="s">
        <v>200</v>
      </c>
      <c r="AA869" t="str">
        <f>IF(OR(VLOOKUP(Table1[[#This Row],[sheet]],Prg!$A$7:$F$31,6,FALSE)=Prg!$O$2,VLOOKUP(Table1[[#This Row],[sheet]],Prg!$A$7:$F$31,6,FALSE)=Prg!$O$3),"Yes","No")</f>
        <v>Yes</v>
      </c>
      <c r="AB869">
        <v>2026</v>
      </c>
      <c r="AC869">
        <v>19</v>
      </c>
      <c r="AD869">
        <f ca="1">IF(ISERROR(VLOOKUP(Table1[[#This Row],[item]],INDIRECT("'"&amp;Table1[[#This Row],[sheet]]&amp;"'!$A$8:$T$42"),Table1[[#This Row],[r]],FALSE)),"",VLOOKUP(Table1[[#This Row],[item]],INDIRECT("'"&amp;Table1[[#This Row],[sheet]]&amp;"'!$A$8:$T$42"),Table1[[#This Row],[r]],FALSE))</f>
        <v>161251.35</v>
      </c>
      <c r="AE869">
        <f>IF(VLOOKUP(Table1[[#This Row],[sheet]],Prg!$A$7:$J$31,10,FALSE)="","",VLOOKUP(Table1[[#This Row],[sheet]],Prg!$A$7:$J$31,10,FALSE)*1)</f>
        <v>1</v>
      </c>
      <c r="AF869" t="str">
        <f>VLOOKUP(Table1[[#This Row],[sheet]],Prg!$A$7:$J$31,5,FALSE)</f>
        <v>NIGER REP</v>
      </c>
      <c r="AG869">
        <f>ROW()</f>
        <v>869</v>
      </c>
    </row>
    <row r="870" spans="24:33" hidden="1" x14ac:dyDescent="0.25">
      <c r="X870">
        <v>5</v>
      </c>
      <c r="Y870" t="s">
        <v>777</v>
      </c>
      <c r="Z870" t="s">
        <v>202</v>
      </c>
      <c r="AA870" t="str">
        <f>IF(OR(VLOOKUP(Table1[[#This Row],[sheet]],Prg!$A$7:$F$31,6,FALSE)=Prg!$O$2,VLOOKUP(Table1[[#This Row],[sheet]],Prg!$A$7:$F$31,6,FALSE)=Prg!$O$3),"Yes","No")</f>
        <v>Yes</v>
      </c>
      <c r="AB870">
        <v>2026</v>
      </c>
      <c r="AC870">
        <v>19</v>
      </c>
      <c r="AD870">
        <f ca="1">IF(ISERROR(VLOOKUP(Table1[[#This Row],[item]],INDIRECT("'"&amp;Table1[[#This Row],[sheet]]&amp;"'!$A$8:$T$42"),Table1[[#This Row],[r]],FALSE)),"",VLOOKUP(Table1[[#This Row],[item]],INDIRECT("'"&amp;Table1[[#This Row],[sheet]]&amp;"'!$A$8:$T$42"),Table1[[#This Row],[r]],FALSE))</f>
        <v>16232.21</v>
      </c>
      <c r="AE870">
        <f>IF(VLOOKUP(Table1[[#This Row],[sheet]],Prg!$A$7:$J$31,10,FALSE)="","",VLOOKUP(Table1[[#This Row],[sheet]],Prg!$A$7:$J$31,10,FALSE)*1)</f>
        <v>1</v>
      </c>
      <c r="AF870" t="str">
        <f>VLOOKUP(Table1[[#This Row],[sheet]],Prg!$A$7:$J$31,5,FALSE)</f>
        <v>NIGER REP</v>
      </c>
      <c r="AG870">
        <f>ROW()</f>
        <v>870</v>
      </c>
    </row>
    <row r="871" spans="24:33" hidden="1" x14ac:dyDescent="0.25">
      <c r="X871">
        <v>5</v>
      </c>
      <c r="Y871" t="s">
        <v>778</v>
      </c>
      <c r="Z871" t="s">
        <v>204</v>
      </c>
      <c r="AA871" t="str">
        <f>IF(OR(VLOOKUP(Table1[[#This Row],[sheet]],Prg!$A$7:$F$31,6,FALSE)=Prg!$O$2,VLOOKUP(Table1[[#This Row],[sheet]],Prg!$A$7:$F$31,6,FALSE)=Prg!$O$3),"Yes","No")</f>
        <v>Yes</v>
      </c>
      <c r="AB871">
        <v>2026</v>
      </c>
      <c r="AC871">
        <v>19</v>
      </c>
      <c r="AD871">
        <f ca="1">IF(ISERROR(VLOOKUP(Table1[[#This Row],[item]],INDIRECT("'"&amp;Table1[[#This Row],[sheet]]&amp;"'!$A$8:$T$42"),Table1[[#This Row],[r]],FALSE)),"",VLOOKUP(Table1[[#This Row],[item]],INDIRECT("'"&amp;Table1[[#This Row],[sheet]]&amp;"'!$A$8:$T$42"),Table1[[#This Row],[r]],FALSE))</f>
        <v>5396.7</v>
      </c>
      <c r="AE871">
        <f>IF(VLOOKUP(Table1[[#This Row],[sheet]],Prg!$A$7:$J$31,10,FALSE)="","",VLOOKUP(Table1[[#This Row],[sheet]],Prg!$A$7:$J$31,10,FALSE)*1)</f>
        <v>1</v>
      </c>
      <c r="AF871" t="str">
        <f>VLOOKUP(Table1[[#This Row],[sheet]],Prg!$A$7:$J$31,5,FALSE)</f>
        <v>NIGER REP</v>
      </c>
      <c r="AG871">
        <f>ROW()</f>
        <v>871</v>
      </c>
    </row>
    <row r="872" spans="24:33" hidden="1" x14ac:dyDescent="0.25">
      <c r="X872">
        <v>5</v>
      </c>
      <c r="Y872" t="s">
        <v>779</v>
      </c>
      <c r="Z872" t="s">
        <v>605</v>
      </c>
      <c r="AA872" t="str">
        <f>IF(OR(VLOOKUP(Table1[[#This Row],[sheet]],Prg!$A$7:$F$31,6,FALSE)=Prg!$O$2,VLOOKUP(Table1[[#This Row],[sheet]],Prg!$A$7:$F$31,6,FALSE)=Prg!$O$3),"Yes","No")</f>
        <v>Yes</v>
      </c>
      <c r="AB872">
        <v>2026</v>
      </c>
      <c r="AC872">
        <v>19</v>
      </c>
      <c r="AD872">
        <f ca="1">IF(ISERROR(VLOOKUP(Table1[[#This Row],[item]],INDIRECT("'"&amp;Table1[[#This Row],[sheet]]&amp;"'!$A$8:$T$42"),Table1[[#This Row],[r]],FALSE)),"",VLOOKUP(Table1[[#This Row],[item]],INDIRECT("'"&amp;Table1[[#This Row],[sheet]]&amp;"'!$A$8:$T$42"),Table1[[#This Row],[r]],FALSE))</f>
        <v>139622.44</v>
      </c>
      <c r="AE872">
        <f>IF(VLOOKUP(Table1[[#This Row],[sheet]],Prg!$A$7:$J$31,10,FALSE)="","",VLOOKUP(Table1[[#This Row],[sheet]],Prg!$A$7:$J$31,10,FALSE)*1)</f>
        <v>1</v>
      </c>
      <c r="AF872" t="str">
        <f>VLOOKUP(Table1[[#This Row],[sheet]],Prg!$A$7:$J$31,5,FALSE)</f>
        <v>NIGER REP</v>
      </c>
      <c r="AG872">
        <f>ROW()</f>
        <v>872</v>
      </c>
    </row>
    <row r="873" spans="24:33" hidden="1" x14ac:dyDescent="0.25">
      <c r="X873">
        <v>5</v>
      </c>
      <c r="Y873" t="s">
        <v>712</v>
      </c>
      <c r="Z873" t="s">
        <v>780</v>
      </c>
      <c r="AA873" t="str">
        <f>IF(OR(VLOOKUP(Table1[[#This Row],[sheet]],Prg!$A$7:$F$31,6,FALSE)=Prg!$O$2,VLOOKUP(Table1[[#This Row],[sheet]],Prg!$A$7:$F$31,6,FALSE)=Prg!$O$3),"Yes","No")</f>
        <v>Yes</v>
      </c>
      <c r="AB873">
        <v>2026</v>
      </c>
      <c r="AC873">
        <v>19</v>
      </c>
      <c r="AD873">
        <f ca="1">IF(ISERROR(VLOOKUP(Table1[[#This Row],[item]],INDIRECT("'"&amp;Table1[[#This Row],[sheet]]&amp;"'!$A$8:$T$42"),Table1[[#This Row],[r]],FALSE)),"",VLOOKUP(Table1[[#This Row],[item]],INDIRECT("'"&amp;Table1[[#This Row],[sheet]]&amp;"'!$A$8:$T$42"),Table1[[#This Row],[r]],FALSE))</f>
        <v>199369.84</v>
      </c>
      <c r="AE873">
        <f>IF(VLOOKUP(Table1[[#This Row],[sheet]],Prg!$A$7:$J$31,10,FALSE)="","",VLOOKUP(Table1[[#This Row],[sheet]],Prg!$A$7:$J$31,10,FALSE)*1)</f>
        <v>1</v>
      </c>
      <c r="AF873" t="str">
        <f>VLOOKUP(Table1[[#This Row],[sheet]],Prg!$A$7:$J$31,5,FALSE)</f>
        <v>NIGER REP</v>
      </c>
      <c r="AG873">
        <f>ROW()</f>
        <v>873</v>
      </c>
    </row>
    <row r="874" spans="24:33" hidden="1" x14ac:dyDescent="0.25">
      <c r="X874">
        <v>5</v>
      </c>
      <c r="Y874" t="s">
        <v>781</v>
      </c>
      <c r="Z874" t="s">
        <v>782</v>
      </c>
      <c r="AA874" t="str">
        <f>IF(OR(VLOOKUP(Table1[[#This Row],[sheet]],Prg!$A$7:$F$31,6,FALSE)=Prg!$O$2,VLOOKUP(Table1[[#This Row],[sheet]],Prg!$A$7:$F$31,6,FALSE)=Prg!$O$3),"Yes","No")</f>
        <v>Yes</v>
      </c>
      <c r="AB874">
        <v>2026</v>
      </c>
      <c r="AC874">
        <v>19</v>
      </c>
      <c r="AD874">
        <f ca="1">IF(ISERROR(VLOOKUP(Table1[[#This Row],[item]],INDIRECT("'"&amp;Table1[[#This Row],[sheet]]&amp;"'!$A$8:$T$42"),Table1[[#This Row],[r]],FALSE)),"",VLOOKUP(Table1[[#This Row],[item]],INDIRECT("'"&amp;Table1[[#This Row],[sheet]]&amp;"'!$A$8:$T$42"),Table1[[#This Row],[r]],FALSE))</f>
        <v>0</v>
      </c>
      <c r="AE874">
        <f>IF(VLOOKUP(Table1[[#This Row],[sheet]],Prg!$A$7:$J$31,10,FALSE)="","",VLOOKUP(Table1[[#This Row],[sheet]],Prg!$A$7:$J$31,10,FALSE)*1)</f>
        <v>1</v>
      </c>
      <c r="AF874" t="str">
        <f>VLOOKUP(Table1[[#This Row],[sheet]],Prg!$A$7:$J$31,5,FALSE)</f>
        <v>NIGER REP</v>
      </c>
      <c r="AG874">
        <f>ROW()</f>
        <v>874</v>
      </c>
    </row>
    <row r="875" spans="24:33" hidden="1" x14ac:dyDescent="0.25">
      <c r="X875">
        <v>5</v>
      </c>
      <c r="Y875" t="s">
        <v>783</v>
      </c>
      <c r="Z875" t="s">
        <v>784</v>
      </c>
      <c r="AA875" t="str">
        <f>IF(OR(VLOOKUP(Table1[[#This Row],[sheet]],Prg!$A$7:$F$31,6,FALSE)=Prg!$O$2,VLOOKUP(Table1[[#This Row],[sheet]],Prg!$A$7:$F$31,6,FALSE)=Prg!$O$3),"Yes","No")</f>
        <v>Yes</v>
      </c>
      <c r="AB875">
        <v>2026</v>
      </c>
      <c r="AC875">
        <v>19</v>
      </c>
      <c r="AD875">
        <f ca="1">IF(ISERROR(VLOOKUP(Table1[[#This Row],[item]],INDIRECT("'"&amp;Table1[[#This Row],[sheet]]&amp;"'!$A$8:$T$42"),Table1[[#This Row],[r]],FALSE)),"",VLOOKUP(Table1[[#This Row],[item]],INDIRECT("'"&amp;Table1[[#This Row],[sheet]]&amp;"'!$A$8:$T$42"),Table1[[#This Row],[r]],FALSE))</f>
        <v>0</v>
      </c>
      <c r="AE875">
        <f>IF(VLOOKUP(Table1[[#This Row],[sheet]],Prg!$A$7:$J$31,10,FALSE)="","",VLOOKUP(Table1[[#This Row],[sheet]],Prg!$A$7:$J$31,10,FALSE)*1)</f>
        <v>1</v>
      </c>
      <c r="AF875" t="str">
        <f>VLOOKUP(Table1[[#This Row],[sheet]],Prg!$A$7:$J$31,5,FALSE)</f>
        <v>NIGER REP</v>
      </c>
      <c r="AG875">
        <f>ROW()</f>
        <v>875</v>
      </c>
    </row>
    <row r="876" spans="24:33" hidden="1" x14ac:dyDescent="0.25">
      <c r="X876">
        <v>5</v>
      </c>
      <c r="Y876" t="s">
        <v>785</v>
      </c>
      <c r="Z876" t="s">
        <v>786</v>
      </c>
      <c r="AA876" t="str">
        <f>IF(OR(VLOOKUP(Table1[[#This Row],[sheet]],Prg!$A$7:$F$31,6,FALSE)=Prg!$O$2,VLOOKUP(Table1[[#This Row],[sheet]],Prg!$A$7:$F$31,6,FALSE)=Prg!$O$3),"Yes","No")</f>
        <v>Yes</v>
      </c>
      <c r="AB876">
        <v>2026</v>
      </c>
      <c r="AC876">
        <v>19</v>
      </c>
      <c r="AD876">
        <f ca="1">IF(ISERROR(VLOOKUP(Table1[[#This Row],[item]],INDIRECT("'"&amp;Table1[[#This Row],[sheet]]&amp;"'!$A$8:$T$42"),Table1[[#This Row],[r]],FALSE)),"",VLOOKUP(Table1[[#This Row],[item]],INDIRECT("'"&amp;Table1[[#This Row],[sheet]]&amp;"'!$A$8:$T$42"),Table1[[#This Row],[r]],FALSE))</f>
        <v>199369.84</v>
      </c>
      <c r="AE876">
        <f>IF(VLOOKUP(Table1[[#This Row],[sheet]],Prg!$A$7:$J$31,10,FALSE)="","",VLOOKUP(Table1[[#This Row],[sheet]],Prg!$A$7:$J$31,10,FALSE)*1)</f>
        <v>1</v>
      </c>
      <c r="AF876" t="str">
        <f>VLOOKUP(Table1[[#This Row],[sheet]],Prg!$A$7:$J$31,5,FALSE)</f>
        <v>NIGER REP</v>
      </c>
      <c r="AG876">
        <f>ROW()</f>
        <v>876</v>
      </c>
    </row>
    <row r="877" spans="24:33" hidden="1" x14ac:dyDescent="0.25">
      <c r="X877">
        <v>5</v>
      </c>
      <c r="Y877" t="s">
        <v>787</v>
      </c>
      <c r="Z877" t="s">
        <v>633</v>
      </c>
      <c r="AA877" t="str">
        <f>IF(OR(VLOOKUP(Table1[[#This Row],[sheet]],Prg!$A$7:$F$31,6,FALSE)=Prg!$O$2,VLOOKUP(Table1[[#This Row],[sheet]],Prg!$A$7:$F$31,6,FALSE)=Prg!$O$3),"Yes","No")</f>
        <v>Yes</v>
      </c>
      <c r="AB877">
        <v>2026</v>
      </c>
      <c r="AC877">
        <v>19</v>
      </c>
      <c r="AD877">
        <f ca="1">IF(ISERROR(VLOOKUP(Table1[[#This Row],[item]],INDIRECT("'"&amp;Table1[[#This Row],[sheet]]&amp;"'!$A$8:$T$42"),Table1[[#This Row],[r]],FALSE)),"",VLOOKUP(Table1[[#This Row],[item]],INDIRECT("'"&amp;Table1[[#This Row],[sheet]]&amp;"'!$A$8:$T$42"),Table1[[#This Row],[r]],FALSE))</f>
        <v>0</v>
      </c>
      <c r="AE877">
        <f>IF(VLOOKUP(Table1[[#This Row],[sheet]],Prg!$A$7:$J$31,10,FALSE)="","",VLOOKUP(Table1[[#This Row],[sheet]],Prg!$A$7:$J$31,10,FALSE)*1)</f>
        <v>1</v>
      </c>
      <c r="AF877" t="str">
        <f>VLOOKUP(Table1[[#This Row],[sheet]],Prg!$A$7:$J$31,5,FALSE)</f>
        <v>NIGER REP</v>
      </c>
      <c r="AG877">
        <f>ROW()</f>
        <v>877</v>
      </c>
    </row>
    <row r="878" spans="24:33" hidden="1" x14ac:dyDescent="0.25">
      <c r="X878">
        <v>5</v>
      </c>
      <c r="Y878" s="53" t="s">
        <v>753</v>
      </c>
      <c r="Z878" s="53" t="s">
        <v>162</v>
      </c>
      <c r="AA878" s="53" t="str">
        <f>IF(OR(VLOOKUP(Table1[[#This Row],[sheet]],Prg!$A$7:$F$31,6,FALSE)=Prg!$O$2,VLOOKUP(Table1[[#This Row],[sheet]],Prg!$A$7:$F$31,6,FALSE)=Prg!$O$3),"Yes","No")</f>
        <v>Yes</v>
      </c>
      <c r="AB878" s="53" t="s">
        <v>78</v>
      </c>
      <c r="AC878">
        <v>20</v>
      </c>
      <c r="AD878">
        <f ca="1">IF(ISERROR(VLOOKUP(Table1[[#This Row],[item]],INDIRECT("'"&amp;Table1[[#This Row],[sheet]]&amp;"'!$A$8:$T$42"),Table1[[#This Row],[r]],FALSE)),"",VLOOKUP(Table1[[#This Row],[item]],INDIRECT("'"&amp;Table1[[#This Row],[sheet]]&amp;"'!$A$8:$T$42"),Table1[[#This Row],[r]],FALSE))</f>
        <v>1819973.5899999999</v>
      </c>
      <c r="AE878">
        <f>IF(VLOOKUP(Table1[[#This Row],[sheet]],Prg!$A$7:$J$31,10,FALSE)="","",VLOOKUP(Table1[[#This Row],[sheet]],Prg!$A$7:$J$31,10,FALSE)*1)</f>
        <v>1</v>
      </c>
      <c r="AF878" t="str">
        <f>VLOOKUP(Table1[[#This Row],[sheet]],Prg!$A$7:$J$31,5,FALSE)</f>
        <v>NIGER REP</v>
      </c>
      <c r="AG878">
        <f>ROW()</f>
        <v>878</v>
      </c>
    </row>
    <row r="879" spans="24:33" hidden="1" x14ac:dyDescent="0.25">
      <c r="X879">
        <v>5</v>
      </c>
      <c r="Y879" t="s">
        <v>754</v>
      </c>
      <c r="Z879" t="s">
        <v>164</v>
      </c>
      <c r="AA879" t="str">
        <f>IF(OR(VLOOKUP(Table1[[#This Row],[sheet]],Prg!$A$7:$F$31,6,FALSE)=Prg!$O$2,VLOOKUP(Table1[[#This Row],[sheet]],Prg!$A$7:$F$31,6,FALSE)=Prg!$O$3),"Yes","No")</f>
        <v>Yes</v>
      </c>
      <c r="AB879" t="s">
        <v>78</v>
      </c>
      <c r="AC879">
        <v>20</v>
      </c>
      <c r="AD879">
        <f ca="1">IF(ISERROR(VLOOKUP(Table1[[#This Row],[item]],INDIRECT("'"&amp;Table1[[#This Row],[sheet]]&amp;"'!$A$8:$T$42"),Table1[[#This Row],[r]],FALSE)),"",VLOOKUP(Table1[[#This Row],[item]],INDIRECT("'"&amp;Table1[[#This Row],[sheet]]&amp;"'!$A$8:$T$42"),Table1[[#This Row],[r]],FALSE))</f>
        <v>78224.38</v>
      </c>
      <c r="AE879">
        <f>IF(VLOOKUP(Table1[[#This Row],[sheet]],Prg!$A$7:$J$31,10,FALSE)="","",VLOOKUP(Table1[[#This Row],[sheet]],Prg!$A$7:$J$31,10,FALSE)*1)</f>
        <v>1</v>
      </c>
      <c r="AF879" t="str">
        <f>VLOOKUP(Table1[[#This Row],[sheet]],Prg!$A$7:$J$31,5,FALSE)</f>
        <v>NIGER REP</v>
      </c>
      <c r="AG879">
        <f>ROW()</f>
        <v>879</v>
      </c>
    </row>
    <row r="880" spans="24:33" hidden="1" x14ac:dyDescent="0.25">
      <c r="X880">
        <v>5</v>
      </c>
      <c r="Y880" t="s">
        <v>755</v>
      </c>
      <c r="Z880" t="s">
        <v>166</v>
      </c>
      <c r="AA880" t="str">
        <f>IF(OR(VLOOKUP(Table1[[#This Row],[sheet]],Prg!$A$7:$F$31,6,FALSE)=Prg!$O$2,VLOOKUP(Table1[[#This Row],[sheet]],Prg!$A$7:$F$31,6,FALSE)=Prg!$O$3),"Yes","No")</f>
        <v>Yes</v>
      </c>
      <c r="AB880" t="s">
        <v>78</v>
      </c>
      <c r="AC880">
        <v>20</v>
      </c>
      <c r="AD880">
        <f ca="1">IF(ISERROR(VLOOKUP(Table1[[#This Row],[item]],INDIRECT("'"&amp;Table1[[#This Row],[sheet]]&amp;"'!$A$8:$T$42"),Table1[[#This Row],[r]],FALSE)),"",VLOOKUP(Table1[[#This Row],[item]],INDIRECT("'"&amp;Table1[[#This Row],[sheet]]&amp;"'!$A$8:$T$42"),Table1[[#This Row],[r]],FALSE))</f>
        <v>1292943.6499999999</v>
      </c>
      <c r="AE880">
        <f>IF(VLOOKUP(Table1[[#This Row],[sheet]],Prg!$A$7:$J$31,10,FALSE)="","",VLOOKUP(Table1[[#This Row],[sheet]],Prg!$A$7:$J$31,10,FALSE)*1)</f>
        <v>1</v>
      </c>
      <c r="AF880" t="str">
        <f>VLOOKUP(Table1[[#This Row],[sheet]],Prg!$A$7:$J$31,5,FALSE)</f>
        <v>NIGER REP</v>
      </c>
      <c r="AG880">
        <f>ROW()</f>
        <v>880</v>
      </c>
    </row>
    <row r="881" spans="24:33" hidden="1" x14ac:dyDescent="0.25">
      <c r="X881">
        <v>5</v>
      </c>
      <c r="Y881" t="s">
        <v>756</v>
      </c>
      <c r="Z881" t="s">
        <v>757</v>
      </c>
      <c r="AA881" t="str">
        <f>IF(OR(VLOOKUP(Table1[[#This Row],[sheet]],Prg!$A$7:$F$31,6,FALSE)=Prg!$O$2,VLOOKUP(Table1[[#This Row],[sheet]],Prg!$A$7:$F$31,6,FALSE)=Prg!$O$3),"Yes","No")</f>
        <v>Yes</v>
      </c>
      <c r="AB881" t="s">
        <v>78</v>
      </c>
      <c r="AC881">
        <v>20</v>
      </c>
      <c r="AD881">
        <f ca="1">IF(ISERROR(VLOOKUP(Table1[[#This Row],[item]],INDIRECT("'"&amp;Table1[[#This Row],[sheet]]&amp;"'!$A$8:$T$42"),Table1[[#This Row],[r]],FALSE)),"",VLOOKUP(Table1[[#This Row],[item]],INDIRECT("'"&amp;Table1[[#This Row],[sheet]]&amp;"'!$A$8:$T$42"),Table1[[#This Row],[r]],FALSE))</f>
        <v>448805.56</v>
      </c>
      <c r="AE881">
        <f>IF(VLOOKUP(Table1[[#This Row],[sheet]],Prg!$A$7:$J$31,10,FALSE)="","",VLOOKUP(Table1[[#This Row],[sheet]],Prg!$A$7:$J$31,10,FALSE)*1)</f>
        <v>1</v>
      </c>
      <c r="AF881" t="str">
        <f>VLOOKUP(Table1[[#This Row],[sheet]],Prg!$A$7:$J$31,5,FALSE)</f>
        <v>NIGER REP</v>
      </c>
      <c r="AG881">
        <f>ROW()</f>
        <v>881</v>
      </c>
    </row>
    <row r="882" spans="24:33" hidden="1" x14ac:dyDescent="0.25">
      <c r="X882">
        <v>5</v>
      </c>
      <c r="Y882" t="s">
        <v>758</v>
      </c>
      <c r="Z882" t="s">
        <v>170</v>
      </c>
      <c r="AA882" t="str">
        <f>IF(OR(VLOOKUP(Table1[[#This Row],[sheet]],Prg!$A$7:$F$31,6,FALSE)=Prg!$O$2,VLOOKUP(Table1[[#This Row],[sheet]],Prg!$A$7:$F$31,6,FALSE)=Prg!$O$3),"Yes","No")</f>
        <v>Yes</v>
      </c>
      <c r="AB882" t="s">
        <v>78</v>
      </c>
      <c r="AC882">
        <v>20</v>
      </c>
      <c r="AD882">
        <f ca="1">IF(ISERROR(VLOOKUP(Table1[[#This Row],[item]],INDIRECT("'"&amp;Table1[[#This Row],[sheet]]&amp;"'!$A$8:$T$42"),Table1[[#This Row],[r]],FALSE)),"",VLOOKUP(Table1[[#This Row],[item]],INDIRECT("'"&amp;Table1[[#This Row],[sheet]]&amp;"'!$A$8:$T$42"),Table1[[#This Row],[r]],FALSE))</f>
        <v>86895.930000000008</v>
      </c>
      <c r="AE882">
        <f>IF(VLOOKUP(Table1[[#This Row],[sheet]],Prg!$A$7:$J$31,10,FALSE)="","",VLOOKUP(Table1[[#This Row],[sheet]],Prg!$A$7:$J$31,10,FALSE)*1)</f>
        <v>1</v>
      </c>
      <c r="AF882" t="str">
        <f>VLOOKUP(Table1[[#This Row],[sheet]],Prg!$A$7:$J$31,5,FALSE)</f>
        <v>NIGER REP</v>
      </c>
      <c r="AG882">
        <f>ROW()</f>
        <v>882</v>
      </c>
    </row>
    <row r="883" spans="24:33" hidden="1" x14ac:dyDescent="0.25">
      <c r="X883">
        <v>5</v>
      </c>
      <c r="Y883" t="s">
        <v>759</v>
      </c>
      <c r="Z883" t="s">
        <v>172</v>
      </c>
      <c r="AA883" t="str">
        <f>IF(OR(VLOOKUP(Table1[[#This Row],[sheet]],Prg!$A$7:$F$31,6,FALSE)=Prg!$O$2,VLOOKUP(Table1[[#This Row],[sheet]],Prg!$A$7:$F$31,6,FALSE)=Prg!$O$3),"Yes","No")</f>
        <v>Yes</v>
      </c>
      <c r="AB883" t="s">
        <v>78</v>
      </c>
      <c r="AC883">
        <v>20</v>
      </c>
      <c r="AD883">
        <f ca="1">IF(ISERROR(VLOOKUP(Table1[[#This Row],[item]],INDIRECT("'"&amp;Table1[[#This Row],[sheet]]&amp;"'!$A$8:$T$42"),Table1[[#This Row],[r]],FALSE)),"",VLOOKUP(Table1[[#This Row],[item]],INDIRECT("'"&amp;Table1[[#This Row],[sheet]]&amp;"'!$A$8:$T$42"),Table1[[#This Row],[r]],FALSE))</f>
        <v>0</v>
      </c>
      <c r="AE883">
        <f>IF(VLOOKUP(Table1[[#This Row],[sheet]],Prg!$A$7:$J$31,10,FALSE)="","",VLOOKUP(Table1[[#This Row],[sheet]],Prg!$A$7:$J$31,10,FALSE)*1)</f>
        <v>1</v>
      </c>
      <c r="AF883" t="str">
        <f>VLOOKUP(Table1[[#This Row],[sheet]],Prg!$A$7:$J$31,5,FALSE)</f>
        <v>NIGER REP</v>
      </c>
      <c r="AG883">
        <f>ROW()</f>
        <v>883</v>
      </c>
    </row>
    <row r="884" spans="24:33" hidden="1" x14ac:dyDescent="0.25">
      <c r="X884">
        <v>5</v>
      </c>
      <c r="Y884" t="s">
        <v>760</v>
      </c>
      <c r="Z884" t="s">
        <v>174</v>
      </c>
      <c r="AA884" t="str">
        <f>IF(OR(VLOOKUP(Table1[[#This Row],[sheet]],Prg!$A$7:$F$31,6,FALSE)=Prg!$O$2,VLOOKUP(Table1[[#This Row],[sheet]],Prg!$A$7:$F$31,6,FALSE)=Prg!$O$3),"Yes","No")</f>
        <v>Yes</v>
      </c>
      <c r="AB884" t="s">
        <v>78</v>
      </c>
      <c r="AC884">
        <v>20</v>
      </c>
      <c r="AD884">
        <f ca="1">IF(ISERROR(VLOOKUP(Table1[[#This Row],[item]],INDIRECT("'"&amp;Table1[[#This Row],[sheet]]&amp;"'!$A$8:$T$42"),Table1[[#This Row],[r]],FALSE)),"",VLOOKUP(Table1[[#This Row],[item]],INDIRECT("'"&amp;Table1[[#This Row],[sheet]]&amp;"'!$A$8:$T$42"),Table1[[#This Row],[r]],FALSE))</f>
        <v>86895.930000000008</v>
      </c>
      <c r="AE884">
        <f>IF(VLOOKUP(Table1[[#This Row],[sheet]],Prg!$A$7:$J$31,10,FALSE)="","",VLOOKUP(Table1[[#This Row],[sheet]],Prg!$A$7:$J$31,10,FALSE)*1)</f>
        <v>1</v>
      </c>
      <c r="AF884" t="str">
        <f>VLOOKUP(Table1[[#This Row],[sheet]],Prg!$A$7:$J$31,5,FALSE)</f>
        <v>NIGER REP</v>
      </c>
      <c r="AG884">
        <f>ROW()</f>
        <v>884</v>
      </c>
    </row>
    <row r="885" spans="24:33" hidden="1" x14ac:dyDescent="0.25">
      <c r="X885">
        <v>5</v>
      </c>
      <c r="Y885" t="s">
        <v>761</v>
      </c>
      <c r="Z885" t="s">
        <v>762</v>
      </c>
      <c r="AA885" t="str">
        <f>IF(OR(VLOOKUP(Table1[[#This Row],[sheet]],Prg!$A$7:$F$31,6,FALSE)=Prg!$O$2,VLOOKUP(Table1[[#This Row],[sheet]],Prg!$A$7:$F$31,6,FALSE)=Prg!$O$3),"Yes","No")</f>
        <v>Yes</v>
      </c>
      <c r="AB885" t="s">
        <v>78</v>
      </c>
      <c r="AC885">
        <v>20</v>
      </c>
      <c r="AD885">
        <f ca="1">IF(ISERROR(VLOOKUP(Table1[[#This Row],[item]],INDIRECT("'"&amp;Table1[[#This Row],[sheet]]&amp;"'!$A$8:$T$42"),Table1[[#This Row],[r]],FALSE)),"",VLOOKUP(Table1[[#This Row],[item]],INDIRECT("'"&amp;Table1[[#This Row],[sheet]]&amp;"'!$A$8:$T$42"),Table1[[#This Row],[r]],FALSE))</f>
        <v>0</v>
      </c>
      <c r="AE885">
        <f>IF(VLOOKUP(Table1[[#This Row],[sheet]],Prg!$A$7:$J$31,10,FALSE)="","",VLOOKUP(Table1[[#This Row],[sheet]],Prg!$A$7:$J$31,10,FALSE)*1)</f>
        <v>1</v>
      </c>
      <c r="AF885" t="str">
        <f>VLOOKUP(Table1[[#This Row],[sheet]],Prg!$A$7:$J$31,5,FALSE)</f>
        <v>NIGER REP</v>
      </c>
      <c r="AG885">
        <f>ROW()</f>
        <v>885</v>
      </c>
    </row>
    <row r="886" spans="24:33" hidden="1" x14ac:dyDescent="0.25">
      <c r="X886">
        <v>5</v>
      </c>
      <c r="Y886" t="s">
        <v>763</v>
      </c>
      <c r="Z886" t="s">
        <v>178</v>
      </c>
      <c r="AA886" t="str">
        <f>IF(OR(VLOOKUP(Table1[[#This Row],[sheet]],Prg!$A$7:$F$31,6,FALSE)=Prg!$O$2,VLOOKUP(Table1[[#This Row],[sheet]],Prg!$A$7:$F$31,6,FALSE)=Prg!$O$3),"Yes","No")</f>
        <v>Yes</v>
      </c>
      <c r="AB886" t="s">
        <v>78</v>
      </c>
      <c r="AC886">
        <v>20</v>
      </c>
      <c r="AD886">
        <f ca="1">IF(ISERROR(VLOOKUP(Table1[[#This Row],[item]],INDIRECT("'"&amp;Table1[[#This Row],[sheet]]&amp;"'!$A$8:$T$42"),Table1[[#This Row],[r]],FALSE)),"",VLOOKUP(Table1[[#This Row],[item]],INDIRECT("'"&amp;Table1[[#This Row],[sheet]]&amp;"'!$A$8:$T$42"),Table1[[#This Row],[r]],FALSE))</f>
        <v>826581.79</v>
      </c>
      <c r="AE886">
        <f>IF(VLOOKUP(Table1[[#This Row],[sheet]],Prg!$A$7:$J$31,10,FALSE)="","",VLOOKUP(Table1[[#This Row],[sheet]],Prg!$A$7:$J$31,10,FALSE)*1)</f>
        <v>1</v>
      </c>
      <c r="AF886" t="str">
        <f>VLOOKUP(Table1[[#This Row],[sheet]],Prg!$A$7:$J$31,5,FALSE)</f>
        <v>NIGER REP</v>
      </c>
      <c r="AG886">
        <f>ROW()</f>
        <v>886</v>
      </c>
    </row>
    <row r="887" spans="24:33" hidden="1" x14ac:dyDescent="0.25">
      <c r="X887">
        <v>5</v>
      </c>
      <c r="Y887" t="s">
        <v>764</v>
      </c>
      <c r="Z887" t="s">
        <v>109</v>
      </c>
      <c r="AA887" t="str">
        <f>IF(OR(VLOOKUP(Table1[[#This Row],[sheet]],Prg!$A$7:$F$31,6,FALSE)=Prg!$O$2,VLOOKUP(Table1[[#This Row],[sheet]],Prg!$A$7:$F$31,6,FALSE)=Prg!$O$3),"Yes","No")</f>
        <v>Yes</v>
      </c>
      <c r="AB887" t="s">
        <v>78</v>
      </c>
      <c r="AC887">
        <v>20</v>
      </c>
      <c r="AD887">
        <f ca="1">IF(ISERROR(VLOOKUP(Table1[[#This Row],[item]],INDIRECT("'"&amp;Table1[[#This Row],[sheet]]&amp;"'!$A$8:$T$42"),Table1[[#This Row],[r]],FALSE)),"",VLOOKUP(Table1[[#This Row],[item]],INDIRECT("'"&amp;Table1[[#This Row],[sheet]]&amp;"'!$A$8:$T$42"),Table1[[#This Row],[r]],FALSE))</f>
        <v>50649.659999999996</v>
      </c>
      <c r="AE887">
        <f>IF(VLOOKUP(Table1[[#This Row],[sheet]],Prg!$A$7:$J$31,10,FALSE)="","",VLOOKUP(Table1[[#This Row],[sheet]],Prg!$A$7:$J$31,10,FALSE)*1)</f>
        <v>1</v>
      </c>
      <c r="AF887" t="str">
        <f>VLOOKUP(Table1[[#This Row],[sheet]],Prg!$A$7:$J$31,5,FALSE)</f>
        <v>NIGER REP</v>
      </c>
      <c r="AG887">
        <f>ROW()</f>
        <v>887</v>
      </c>
    </row>
    <row r="888" spans="24:33" hidden="1" x14ac:dyDescent="0.25">
      <c r="X888">
        <v>5</v>
      </c>
      <c r="Y888" t="s">
        <v>765</v>
      </c>
      <c r="Z888" t="s">
        <v>117</v>
      </c>
      <c r="AA888" t="str">
        <f>IF(OR(VLOOKUP(Table1[[#This Row],[sheet]],Prg!$A$7:$F$31,6,FALSE)=Prg!$O$2,VLOOKUP(Table1[[#This Row],[sheet]],Prg!$A$7:$F$31,6,FALSE)=Prg!$O$3),"Yes","No")</f>
        <v>Yes</v>
      </c>
      <c r="AB888" t="s">
        <v>78</v>
      </c>
      <c r="AC888">
        <v>20</v>
      </c>
      <c r="AD888">
        <f ca="1">IF(ISERROR(VLOOKUP(Table1[[#This Row],[item]],INDIRECT("'"&amp;Table1[[#This Row],[sheet]]&amp;"'!$A$8:$T$42"),Table1[[#This Row],[r]],FALSE)),"",VLOOKUP(Table1[[#This Row],[item]],INDIRECT("'"&amp;Table1[[#This Row],[sheet]]&amp;"'!$A$8:$T$42"),Table1[[#This Row],[r]],FALSE))</f>
        <v>97296.840000000011</v>
      </c>
      <c r="AE888">
        <f>IF(VLOOKUP(Table1[[#This Row],[sheet]],Prg!$A$7:$J$31,10,FALSE)="","",VLOOKUP(Table1[[#This Row],[sheet]],Prg!$A$7:$J$31,10,FALSE)*1)</f>
        <v>1</v>
      </c>
      <c r="AF888" t="str">
        <f>VLOOKUP(Table1[[#This Row],[sheet]],Prg!$A$7:$J$31,5,FALSE)</f>
        <v>NIGER REP</v>
      </c>
      <c r="AG888">
        <f>ROW()</f>
        <v>888</v>
      </c>
    </row>
    <row r="889" spans="24:33" hidden="1" x14ac:dyDescent="0.25">
      <c r="X889">
        <v>5</v>
      </c>
      <c r="Y889" t="s">
        <v>766</v>
      </c>
      <c r="Z889" t="s">
        <v>767</v>
      </c>
      <c r="AA889" t="str">
        <f>IF(OR(VLOOKUP(Table1[[#This Row],[sheet]],Prg!$A$7:$F$31,6,FALSE)=Prg!$O$2,VLOOKUP(Table1[[#This Row],[sheet]],Prg!$A$7:$F$31,6,FALSE)=Prg!$O$3),"Yes","No")</f>
        <v>Yes</v>
      </c>
      <c r="AB889" t="s">
        <v>78</v>
      </c>
      <c r="AC889">
        <v>20</v>
      </c>
      <c r="AD889">
        <f ca="1">IF(ISERROR(VLOOKUP(Table1[[#This Row],[item]],INDIRECT("'"&amp;Table1[[#This Row],[sheet]]&amp;"'!$A$8:$T$42"),Table1[[#This Row],[r]],FALSE)),"",VLOOKUP(Table1[[#This Row],[item]],INDIRECT("'"&amp;Table1[[#This Row],[sheet]]&amp;"'!$A$8:$T$42"),Table1[[#This Row],[r]],FALSE))</f>
        <v>678635.29</v>
      </c>
      <c r="AE889">
        <f>IF(VLOOKUP(Table1[[#This Row],[sheet]],Prg!$A$7:$J$31,10,FALSE)="","",VLOOKUP(Table1[[#This Row],[sheet]],Prg!$A$7:$J$31,10,FALSE)*1)</f>
        <v>1</v>
      </c>
      <c r="AF889" t="str">
        <f>VLOOKUP(Table1[[#This Row],[sheet]],Prg!$A$7:$J$31,5,FALSE)</f>
        <v>NIGER REP</v>
      </c>
      <c r="AG889">
        <f>ROW()</f>
        <v>889</v>
      </c>
    </row>
    <row r="890" spans="24:33" hidden="1" x14ac:dyDescent="0.25">
      <c r="X890">
        <v>5</v>
      </c>
      <c r="Y890" t="s">
        <v>768</v>
      </c>
      <c r="Z890" t="s">
        <v>182</v>
      </c>
      <c r="AA890" t="str">
        <f>IF(OR(VLOOKUP(Table1[[#This Row],[sheet]],Prg!$A$7:$F$31,6,FALSE)=Prg!$O$2,VLOOKUP(Table1[[#This Row],[sheet]],Prg!$A$7:$F$31,6,FALSE)=Prg!$O$3),"Yes","No")</f>
        <v>Yes</v>
      </c>
      <c r="AB890" t="s">
        <v>78</v>
      </c>
      <c r="AC890">
        <v>20</v>
      </c>
      <c r="AD890">
        <f ca="1">IF(ISERROR(VLOOKUP(Table1[[#This Row],[item]],INDIRECT("'"&amp;Table1[[#This Row],[sheet]]&amp;"'!$A$8:$T$42"),Table1[[#This Row],[r]],FALSE)),"",VLOOKUP(Table1[[#This Row],[item]],INDIRECT("'"&amp;Table1[[#This Row],[sheet]]&amp;"'!$A$8:$T$42"),Table1[[#This Row],[r]],FALSE))</f>
        <v>20000</v>
      </c>
      <c r="AE890">
        <f>IF(VLOOKUP(Table1[[#This Row],[sheet]],Prg!$A$7:$J$31,10,FALSE)="","",VLOOKUP(Table1[[#This Row],[sheet]],Prg!$A$7:$J$31,10,FALSE)*1)</f>
        <v>1</v>
      </c>
      <c r="AF890" t="str">
        <f>VLOOKUP(Table1[[#This Row],[sheet]],Prg!$A$7:$J$31,5,FALSE)</f>
        <v>NIGER REP</v>
      </c>
      <c r="AG890">
        <f>ROW()</f>
        <v>890</v>
      </c>
    </row>
    <row r="891" spans="24:33" hidden="1" x14ac:dyDescent="0.25">
      <c r="X891">
        <v>5</v>
      </c>
      <c r="Y891" t="s">
        <v>769</v>
      </c>
      <c r="Z891" t="s">
        <v>184</v>
      </c>
      <c r="AA891" t="str">
        <f>IF(OR(VLOOKUP(Table1[[#This Row],[sheet]],Prg!$A$7:$F$31,6,FALSE)=Prg!$O$2,VLOOKUP(Table1[[#This Row],[sheet]],Prg!$A$7:$F$31,6,FALSE)=Prg!$O$3),"Yes","No")</f>
        <v>Yes</v>
      </c>
      <c r="AB891" t="s">
        <v>78</v>
      </c>
      <c r="AC891">
        <v>20</v>
      </c>
      <c r="AD891">
        <f ca="1">IF(ISERROR(VLOOKUP(Table1[[#This Row],[item]],INDIRECT("'"&amp;Table1[[#This Row],[sheet]]&amp;"'!$A$8:$T$42"),Table1[[#This Row],[r]],FALSE)),"",VLOOKUP(Table1[[#This Row],[item]],INDIRECT("'"&amp;Table1[[#This Row],[sheet]]&amp;"'!$A$8:$T$42"),Table1[[#This Row],[r]],FALSE))</f>
        <v>0</v>
      </c>
      <c r="AE891">
        <f>IF(VLOOKUP(Table1[[#This Row],[sheet]],Prg!$A$7:$J$31,10,FALSE)="","",VLOOKUP(Table1[[#This Row],[sheet]],Prg!$A$7:$J$31,10,FALSE)*1)</f>
        <v>1</v>
      </c>
      <c r="AF891" t="str">
        <f>VLOOKUP(Table1[[#This Row],[sheet]],Prg!$A$7:$J$31,5,FALSE)</f>
        <v>NIGER REP</v>
      </c>
      <c r="AG891">
        <f>ROW()</f>
        <v>891</v>
      </c>
    </row>
    <row r="892" spans="24:33" hidden="1" x14ac:dyDescent="0.25">
      <c r="X892">
        <v>5</v>
      </c>
      <c r="Y892" t="s">
        <v>770</v>
      </c>
      <c r="Z892" t="s">
        <v>186</v>
      </c>
      <c r="AA892" t="str">
        <f>IF(OR(VLOOKUP(Table1[[#This Row],[sheet]],Prg!$A$7:$F$31,6,FALSE)=Prg!$O$2,VLOOKUP(Table1[[#This Row],[sheet]],Prg!$A$7:$F$31,6,FALSE)=Prg!$O$3),"Yes","No")</f>
        <v>Yes</v>
      </c>
      <c r="AB892" t="s">
        <v>78</v>
      </c>
      <c r="AC892">
        <v>20</v>
      </c>
      <c r="AD892">
        <f ca="1">IF(ISERROR(VLOOKUP(Table1[[#This Row],[item]],INDIRECT("'"&amp;Table1[[#This Row],[sheet]]&amp;"'!$A$8:$T$42"),Table1[[#This Row],[r]],FALSE)),"",VLOOKUP(Table1[[#This Row],[item]],INDIRECT("'"&amp;Table1[[#This Row],[sheet]]&amp;"'!$A$8:$T$42"),Table1[[#This Row],[r]],FALSE))</f>
        <v>20000</v>
      </c>
      <c r="AE892">
        <f>IF(VLOOKUP(Table1[[#This Row],[sheet]],Prg!$A$7:$J$31,10,FALSE)="","",VLOOKUP(Table1[[#This Row],[sheet]],Prg!$A$7:$J$31,10,FALSE)*1)</f>
        <v>1</v>
      </c>
      <c r="AF892" t="str">
        <f>VLOOKUP(Table1[[#This Row],[sheet]],Prg!$A$7:$J$31,5,FALSE)</f>
        <v>NIGER REP</v>
      </c>
      <c r="AG892">
        <f>ROW()</f>
        <v>892</v>
      </c>
    </row>
    <row r="893" spans="24:33" hidden="1" x14ac:dyDescent="0.25">
      <c r="X893">
        <v>5</v>
      </c>
      <c r="Y893" t="s">
        <v>771</v>
      </c>
      <c r="Z893" t="s">
        <v>772</v>
      </c>
      <c r="AA893" t="str">
        <f>IF(OR(VLOOKUP(Table1[[#This Row],[sheet]],Prg!$A$7:$F$31,6,FALSE)=Prg!$O$2,VLOOKUP(Table1[[#This Row],[sheet]],Prg!$A$7:$F$31,6,FALSE)=Prg!$O$3),"Yes","No")</f>
        <v>Yes</v>
      </c>
      <c r="AB893" t="s">
        <v>78</v>
      </c>
      <c r="AC893">
        <v>20</v>
      </c>
      <c r="AD893">
        <f ca="1">IF(ISERROR(VLOOKUP(Table1[[#This Row],[item]],INDIRECT("'"&amp;Table1[[#This Row],[sheet]]&amp;"'!$A$8:$T$42"),Table1[[#This Row],[r]],FALSE)),"",VLOOKUP(Table1[[#This Row],[item]],INDIRECT("'"&amp;Table1[[#This Row],[sheet]]&amp;"'!$A$8:$T$42"),Table1[[#This Row],[r]],FALSE))</f>
        <v>0</v>
      </c>
      <c r="AE893">
        <f>IF(VLOOKUP(Table1[[#This Row],[sheet]],Prg!$A$7:$J$31,10,FALSE)="","",VLOOKUP(Table1[[#This Row],[sheet]],Prg!$A$7:$J$31,10,FALSE)*1)</f>
        <v>1</v>
      </c>
      <c r="AF893" t="str">
        <f>VLOOKUP(Table1[[#This Row],[sheet]],Prg!$A$7:$J$31,5,FALSE)</f>
        <v>NIGER REP</v>
      </c>
      <c r="AG893">
        <f>ROW()</f>
        <v>893</v>
      </c>
    </row>
    <row r="894" spans="24:33" hidden="1" x14ac:dyDescent="0.25">
      <c r="X894">
        <v>5</v>
      </c>
      <c r="Y894" t="s">
        <v>773</v>
      </c>
      <c r="Z894" t="s">
        <v>190</v>
      </c>
      <c r="AA894" t="str">
        <f>IF(OR(VLOOKUP(Table1[[#This Row],[sheet]],Prg!$A$7:$F$31,6,FALSE)=Prg!$O$2,VLOOKUP(Table1[[#This Row],[sheet]],Prg!$A$7:$F$31,6,FALSE)=Prg!$O$3),"Yes","No")</f>
        <v>Yes</v>
      </c>
      <c r="AB894" t="s">
        <v>78</v>
      </c>
      <c r="AC894">
        <v>20</v>
      </c>
      <c r="AD894">
        <f ca="1">IF(ISERROR(VLOOKUP(Table1[[#This Row],[item]],INDIRECT("'"&amp;Table1[[#This Row],[sheet]]&amp;"'!$A$8:$T$42"),Table1[[#This Row],[r]],FALSE)),"",VLOOKUP(Table1[[#This Row],[item]],INDIRECT("'"&amp;Table1[[#This Row],[sheet]]&amp;"'!$A$8:$T$42"),Table1[[#This Row],[r]],FALSE))</f>
        <v>2753451.7538111997</v>
      </c>
      <c r="AE894">
        <f>IF(VLOOKUP(Table1[[#This Row],[sheet]],Prg!$A$7:$J$31,10,FALSE)="","",VLOOKUP(Table1[[#This Row],[sheet]],Prg!$A$7:$J$31,10,FALSE)*1)</f>
        <v>1</v>
      </c>
      <c r="AF894" t="str">
        <f>VLOOKUP(Table1[[#This Row],[sheet]],Prg!$A$7:$J$31,5,FALSE)</f>
        <v>NIGER REP</v>
      </c>
      <c r="AG894">
        <f>ROW()</f>
        <v>894</v>
      </c>
    </row>
    <row r="895" spans="24:33" hidden="1" x14ac:dyDescent="0.25">
      <c r="X895">
        <v>5</v>
      </c>
      <c r="Y895" t="s">
        <v>709</v>
      </c>
      <c r="Z895" t="s">
        <v>192</v>
      </c>
      <c r="AA895" t="str">
        <f>IF(OR(VLOOKUP(Table1[[#This Row],[sheet]],Prg!$A$7:$F$31,6,FALSE)=Prg!$O$2,VLOOKUP(Table1[[#This Row],[sheet]],Prg!$A$7:$F$31,6,FALSE)=Prg!$O$3),"Yes","No")</f>
        <v>Yes</v>
      </c>
      <c r="AB895" t="s">
        <v>78</v>
      </c>
      <c r="AC895">
        <v>20</v>
      </c>
      <c r="AD895">
        <f ca="1">IF(ISERROR(VLOOKUP(Table1[[#This Row],[item]],INDIRECT("'"&amp;Table1[[#This Row],[sheet]]&amp;"'!$A$8:$T$42"),Table1[[#This Row],[r]],FALSE)),"",VLOOKUP(Table1[[#This Row],[item]],INDIRECT("'"&amp;Table1[[#This Row],[sheet]]&amp;"'!$A$8:$T$42"),Table1[[#This Row],[r]],FALSE))</f>
        <v>128874.04000000001</v>
      </c>
      <c r="AE895">
        <f>IF(VLOOKUP(Table1[[#This Row],[sheet]],Prg!$A$7:$J$31,10,FALSE)="","",VLOOKUP(Table1[[#This Row],[sheet]],Prg!$A$7:$J$31,10,FALSE)*1)</f>
        <v>1</v>
      </c>
      <c r="AF895" t="str">
        <f>VLOOKUP(Table1[[#This Row],[sheet]],Prg!$A$7:$J$31,5,FALSE)</f>
        <v>NIGER REP</v>
      </c>
      <c r="AG895">
        <f>ROW()</f>
        <v>895</v>
      </c>
    </row>
    <row r="896" spans="24:33" hidden="1" x14ac:dyDescent="0.25">
      <c r="X896">
        <v>5</v>
      </c>
      <c r="Y896" t="s">
        <v>774</v>
      </c>
      <c r="Z896" t="s">
        <v>194</v>
      </c>
      <c r="AA896" t="str">
        <f>IF(OR(VLOOKUP(Table1[[#This Row],[sheet]],Prg!$A$7:$F$31,6,FALSE)=Prg!$O$2,VLOOKUP(Table1[[#This Row],[sheet]],Prg!$A$7:$F$31,6,FALSE)=Prg!$O$3),"Yes","No")</f>
        <v>Yes</v>
      </c>
      <c r="AB896" t="s">
        <v>78</v>
      </c>
      <c r="AC896">
        <v>20</v>
      </c>
      <c r="AD896">
        <f ca="1">IF(ISERROR(VLOOKUP(Table1[[#This Row],[item]],INDIRECT("'"&amp;Table1[[#This Row],[sheet]]&amp;"'!$A$8:$T$42"),Table1[[#This Row],[r]],FALSE)),"",VLOOKUP(Table1[[#This Row],[item]],INDIRECT("'"&amp;Table1[[#This Row],[sheet]]&amp;"'!$A$8:$T$42"),Table1[[#This Row],[r]],FALSE))</f>
        <v>93429.640000000014</v>
      </c>
      <c r="AE896">
        <f>IF(VLOOKUP(Table1[[#This Row],[sheet]],Prg!$A$7:$J$31,10,FALSE)="","",VLOOKUP(Table1[[#This Row],[sheet]],Prg!$A$7:$J$31,10,FALSE)*1)</f>
        <v>1</v>
      </c>
      <c r="AF896" t="str">
        <f>VLOOKUP(Table1[[#This Row],[sheet]],Prg!$A$7:$J$31,5,FALSE)</f>
        <v>NIGER REP</v>
      </c>
      <c r="AG896">
        <f>ROW()</f>
        <v>896</v>
      </c>
    </row>
    <row r="897" spans="24:33" hidden="1" x14ac:dyDescent="0.25">
      <c r="X897">
        <v>5</v>
      </c>
      <c r="Y897" t="s">
        <v>775</v>
      </c>
      <c r="Z897" t="s">
        <v>196</v>
      </c>
      <c r="AA897" t="str">
        <f>IF(OR(VLOOKUP(Table1[[#This Row],[sheet]],Prg!$A$7:$F$31,6,FALSE)=Prg!$O$2,VLOOKUP(Table1[[#This Row],[sheet]],Prg!$A$7:$F$31,6,FALSE)=Prg!$O$3),"Yes","No")</f>
        <v>Yes</v>
      </c>
      <c r="AB897" t="s">
        <v>78</v>
      </c>
      <c r="AC897">
        <v>20</v>
      </c>
      <c r="AD897">
        <f ca="1">IF(ISERROR(VLOOKUP(Table1[[#This Row],[item]],INDIRECT("'"&amp;Table1[[#This Row],[sheet]]&amp;"'!$A$8:$T$42"),Table1[[#This Row],[r]],FALSE)),"",VLOOKUP(Table1[[#This Row],[item]],INDIRECT("'"&amp;Table1[[#This Row],[sheet]]&amp;"'!$A$8:$T$42"),Table1[[#This Row],[r]],FALSE))</f>
        <v>35444.400000000001</v>
      </c>
      <c r="AE897">
        <f>IF(VLOOKUP(Table1[[#This Row],[sheet]],Prg!$A$7:$J$31,10,FALSE)="","",VLOOKUP(Table1[[#This Row],[sheet]],Prg!$A$7:$J$31,10,FALSE)*1)</f>
        <v>1</v>
      </c>
      <c r="AF897" t="str">
        <f>VLOOKUP(Table1[[#This Row],[sheet]],Prg!$A$7:$J$31,5,FALSE)</f>
        <v>NIGER REP</v>
      </c>
      <c r="AG897">
        <f>ROW()</f>
        <v>897</v>
      </c>
    </row>
    <row r="898" spans="24:33" hidden="1" x14ac:dyDescent="0.25">
      <c r="X898">
        <v>5</v>
      </c>
      <c r="Y898" t="s">
        <v>776</v>
      </c>
      <c r="Z898" t="s">
        <v>605</v>
      </c>
      <c r="AA898" t="str">
        <f>IF(OR(VLOOKUP(Table1[[#This Row],[sheet]],Prg!$A$7:$F$31,6,FALSE)=Prg!$O$2,VLOOKUP(Table1[[#This Row],[sheet]],Prg!$A$7:$F$31,6,FALSE)=Prg!$O$3),"Yes","No")</f>
        <v>Yes</v>
      </c>
      <c r="AB898" t="s">
        <v>78</v>
      </c>
      <c r="AC898">
        <v>20</v>
      </c>
      <c r="AD898">
        <f ca="1">IF(ISERROR(VLOOKUP(Table1[[#This Row],[item]],INDIRECT("'"&amp;Table1[[#This Row],[sheet]]&amp;"'!$A$8:$T$42"),Table1[[#This Row],[r]],FALSE)),"",VLOOKUP(Table1[[#This Row],[item]],INDIRECT("'"&amp;Table1[[#This Row],[sheet]]&amp;"'!$A$8:$T$42"),Table1[[#This Row],[r]],FALSE))</f>
        <v>0</v>
      </c>
      <c r="AE898">
        <f>IF(VLOOKUP(Table1[[#This Row],[sheet]],Prg!$A$7:$J$31,10,FALSE)="","",VLOOKUP(Table1[[#This Row],[sheet]],Prg!$A$7:$J$31,10,FALSE)*1)</f>
        <v>1</v>
      </c>
      <c r="AF898" t="str">
        <f>VLOOKUP(Table1[[#This Row],[sheet]],Prg!$A$7:$J$31,5,FALSE)</f>
        <v>NIGER REP</v>
      </c>
      <c r="AG898">
        <f>ROW()</f>
        <v>898</v>
      </c>
    </row>
    <row r="899" spans="24:33" hidden="1" x14ac:dyDescent="0.25">
      <c r="X899">
        <v>5</v>
      </c>
      <c r="Y899" t="s">
        <v>711</v>
      </c>
      <c r="Z899" t="s">
        <v>200</v>
      </c>
      <c r="AA899" t="str">
        <f>IF(OR(VLOOKUP(Table1[[#This Row],[sheet]],Prg!$A$7:$F$31,6,FALSE)=Prg!$O$2,VLOOKUP(Table1[[#This Row],[sheet]],Prg!$A$7:$F$31,6,FALSE)=Prg!$O$3),"Yes","No")</f>
        <v>Yes</v>
      </c>
      <c r="AB899" t="s">
        <v>78</v>
      </c>
      <c r="AC899">
        <v>20</v>
      </c>
      <c r="AD899">
        <f ca="1">IF(ISERROR(VLOOKUP(Table1[[#This Row],[item]],INDIRECT("'"&amp;Table1[[#This Row],[sheet]]&amp;"'!$A$8:$T$42"),Table1[[#This Row],[r]],FALSE)),"",VLOOKUP(Table1[[#This Row],[item]],INDIRECT("'"&amp;Table1[[#This Row],[sheet]]&amp;"'!$A$8:$T$42"),Table1[[#This Row],[r]],FALSE))</f>
        <v>1497136.8599999999</v>
      </c>
      <c r="AE899">
        <f>IF(VLOOKUP(Table1[[#This Row],[sheet]],Prg!$A$7:$J$31,10,FALSE)="","",VLOOKUP(Table1[[#This Row],[sheet]],Prg!$A$7:$J$31,10,FALSE)*1)</f>
        <v>1</v>
      </c>
      <c r="AF899" t="str">
        <f>VLOOKUP(Table1[[#This Row],[sheet]],Prg!$A$7:$J$31,5,FALSE)</f>
        <v>NIGER REP</v>
      </c>
      <c r="AG899">
        <f>ROW()</f>
        <v>899</v>
      </c>
    </row>
    <row r="900" spans="24:33" hidden="1" x14ac:dyDescent="0.25">
      <c r="X900">
        <v>5</v>
      </c>
      <c r="Y900" t="s">
        <v>777</v>
      </c>
      <c r="Z900" t="s">
        <v>202</v>
      </c>
      <c r="AA900" t="str">
        <f>IF(OR(VLOOKUP(Table1[[#This Row],[sheet]],Prg!$A$7:$F$31,6,FALSE)=Prg!$O$2,VLOOKUP(Table1[[#This Row],[sheet]],Prg!$A$7:$F$31,6,FALSE)=Prg!$O$3),"Yes","No")</f>
        <v>Yes</v>
      </c>
      <c r="AB900" t="s">
        <v>78</v>
      </c>
      <c r="AC900">
        <v>20</v>
      </c>
      <c r="AD900">
        <f ca="1">IF(ISERROR(VLOOKUP(Table1[[#This Row],[item]],INDIRECT("'"&amp;Table1[[#This Row],[sheet]]&amp;"'!$A$8:$T$42"),Table1[[#This Row],[r]],FALSE)),"",VLOOKUP(Table1[[#This Row],[item]],INDIRECT("'"&amp;Table1[[#This Row],[sheet]]&amp;"'!$A$8:$T$42"),Table1[[#This Row],[r]],FALSE))</f>
        <v>123701.01000000001</v>
      </c>
      <c r="AE900">
        <f>IF(VLOOKUP(Table1[[#This Row],[sheet]],Prg!$A$7:$J$31,10,FALSE)="","",VLOOKUP(Table1[[#This Row],[sheet]],Prg!$A$7:$J$31,10,FALSE)*1)</f>
        <v>1</v>
      </c>
      <c r="AF900" t="str">
        <f>VLOOKUP(Table1[[#This Row],[sheet]],Prg!$A$7:$J$31,5,FALSE)</f>
        <v>NIGER REP</v>
      </c>
      <c r="AG900">
        <f>ROW()</f>
        <v>900</v>
      </c>
    </row>
    <row r="901" spans="24:33" hidden="1" x14ac:dyDescent="0.25">
      <c r="X901">
        <v>5</v>
      </c>
      <c r="Y901" t="s">
        <v>778</v>
      </c>
      <c r="Z901" t="s">
        <v>204</v>
      </c>
      <c r="AA901" t="str">
        <f>IF(OR(VLOOKUP(Table1[[#This Row],[sheet]],Prg!$A$7:$F$31,6,FALSE)=Prg!$O$2,VLOOKUP(Table1[[#This Row],[sheet]],Prg!$A$7:$F$31,6,FALSE)=Prg!$O$3),"Yes","No")</f>
        <v>Yes</v>
      </c>
      <c r="AB901" t="s">
        <v>78</v>
      </c>
      <c r="AC901">
        <v>20</v>
      </c>
      <c r="AD901">
        <f ca="1">IF(ISERROR(VLOOKUP(Table1[[#This Row],[item]],INDIRECT("'"&amp;Table1[[#This Row],[sheet]]&amp;"'!$A$8:$T$42"),Table1[[#This Row],[r]],FALSE)),"",VLOOKUP(Table1[[#This Row],[item]],INDIRECT("'"&amp;Table1[[#This Row],[sheet]]&amp;"'!$A$8:$T$42"),Table1[[#This Row],[r]],FALSE))</f>
        <v>34118.400000000001</v>
      </c>
      <c r="AE901">
        <f>IF(VLOOKUP(Table1[[#This Row],[sheet]],Prg!$A$7:$J$31,10,FALSE)="","",VLOOKUP(Table1[[#This Row],[sheet]],Prg!$A$7:$J$31,10,FALSE)*1)</f>
        <v>1</v>
      </c>
      <c r="AF901" t="str">
        <f>VLOOKUP(Table1[[#This Row],[sheet]],Prg!$A$7:$J$31,5,FALSE)</f>
        <v>NIGER REP</v>
      </c>
      <c r="AG901">
        <f>ROW()</f>
        <v>901</v>
      </c>
    </row>
    <row r="902" spans="24:33" hidden="1" x14ac:dyDescent="0.25">
      <c r="X902">
        <v>5</v>
      </c>
      <c r="Y902" t="s">
        <v>779</v>
      </c>
      <c r="Z902" t="s">
        <v>605</v>
      </c>
      <c r="AA902" t="str">
        <f>IF(OR(VLOOKUP(Table1[[#This Row],[sheet]],Prg!$A$7:$F$31,6,FALSE)=Prg!$O$2,VLOOKUP(Table1[[#This Row],[sheet]],Prg!$A$7:$F$31,6,FALSE)=Prg!$O$3),"Yes","No")</f>
        <v>Yes</v>
      </c>
      <c r="AB902" t="s">
        <v>78</v>
      </c>
      <c r="AC902">
        <v>20</v>
      </c>
      <c r="AD902">
        <f ca="1">IF(ISERROR(VLOOKUP(Table1[[#This Row],[item]],INDIRECT("'"&amp;Table1[[#This Row],[sheet]]&amp;"'!$A$8:$T$42"),Table1[[#This Row],[r]],FALSE)),"",VLOOKUP(Table1[[#This Row],[item]],INDIRECT("'"&amp;Table1[[#This Row],[sheet]]&amp;"'!$A$8:$T$42"),Table1[[#This Row],[r]],FALSE))</f>
        <v>1339317.45</v>
      </c>
      <c r="AE902">
        <f>IF(VLOOKUP(Table1[[#This Row],[sheet]],Prg!$A$7:$J$31,10,FALSE)="","",VLOOKUP(Table1[[#This Row],[sheet]],Prg!$A$7:$J$31,10,FALSE)*1)</f>
        <v>1</v>
      </c>
      <c r="AF902" t="str">
        <f>VLOOKUP(Table1[[#This Row],[sheet]],Prg!$A$7:$J$31,5,FALSE)</f>
        <v>NIGER REP</v>
      </c>
      <c r="AG902">
        <f>ROW()</f>
        <v>902</v>
      </c>
    </row>
    <row r="903" spans="24:33" hidden="1" x14ac:dyDescent="0.25">
      <c r="X903">
        <v>5</v>
      </c>
      <c r="Y903" t="s">
        <v>712</v>
      </c>
      <c r="Z903" t="s">
        <v>780</v>
      </c>
      <c r="AA903" t="str">
        <f>IF(OR(VLOOKUP(Table1[[#This Row],[sheet]],Prg!$A$7:$F$31,6,FALSE)=Prg!$O$2,VLOOKUP(Table1[[#This Row],[sheet]],Prg!$A$7:$F$31,6,FALSE)=Prg!$O$3),"Yes","No")</f>
        <v>Yes</v>
      </c>
      <c r="AB903" t="s">
        <v>78</v>
      </c>
      <c r="AC903">
        <v>20</v>
      </c>
      <c r="AD903">
        <f ca="1">IF(ISERROR(VLOOKUP(Table1[[#This Row],[item]],INDIRECT("'"&amp;Table1[[#This Row],[sheet]]&amp;"'!$A$8:$T$42"),Table1[[#This Row],[r]],FALSE)),"",VLOOKUP(Table1[[#This Row],[item]],INDIRECT("'"&amp;Table1[[#This Row],[sheet]]&amp;"'!$A$8:$T$42"),Table1[[#This Row],[r]],FALSE))</f>
        <v>1127440.8538112</v>
      </c>
      <c r="AE903">
        <f>IF(VLOOKUP(Table1[[#This Row],[sheet]],Prg!$A$7:$J$31,10,FALSE)="","",VLOOKUP(Table1[[#This Row],[sheet]],Prg!$A$7:$J$31,10,FALSE)*1)</f>
        <v>1</v>
      </c>
      <c r="AF903" t="str">
        <f>VLOOKUP(Table1[[#This Row],[sheet]],Prg!$A$7:$J$31,5,FALSE)</f>
        <v>NIGER REP</v>
      </c>
      <c r="AG903">
        <f>ROW()</f>
        <v>903</v>
      </c>
    </row>
    <row r="904" spans="24:33" hidden="1" x14ac:dyDescent="0.25">
      <c r="X904">
        <v>5</v>
      </c>
      <c r="Y904" t="s">
        <v>781</v>
      </c>
      <c r="Z904" t="s">
        <v>782</v>
      </c>
      <c r="AA904" t="str">
        <f>IF(OR(VLOOKUP(Table1[[#This Row],[sheet]],Prg!$A$7:$F$31,6,FALSE)=Prg!$O$2,VLOOKUP(Table1[[#This Row],[sheet]],Prg!$A$7:$F$31,6,FALSE)=Prg!$O$3),"Yes","No")</f>
        <v>Yes</v>
      </c>
      <c r="AB904" t="s">
        <v>78</v>
      </c>
      <c r="AC904">
        <v>20</v>
      </c>
      <c r="AD904">
        <f ca="1">IF(ISERROR(VLOOKUP(Table1[[#This Row],[item]],INDIRECT("'"&amp;Table1[[#This Row],[sheet]]&amp;"'!$A$8:$T$42"),Table1[[#This Row],[r]],FALSE)),"",VLOOKUP(Table1[[#This Row],[item]],INDIRECT("'"&amp;Table1[[#This Row],[sheet]]&amp;"'!$A$8:$T$42"),Table1[[#This Row],[r]],FALSE))</f>
        <v>0</v>
      </c>
      <c r="AE904">
        <f>IF(VLOOKUP(Table1[[#This Row],[sheet]],Prg!$A$7:$J$31,10,FALSE)="","",VLOOKUP(Table1[[#This Row],[sheet]],Prg!$A$7:$J$31,10,FALSE)*1)</f>
        <v>1</v>
      </c>
      <c r="AF904" t="str">
        <f>VLOOKUP(Table1[[#This Row],[sheet]],Prg!$A$7:$J$31,5,FALSE)</f>
        <v>NIGER REP</v>
      </c>
      <c r="AG904">
        <f>ROW()</f>
        <v>904</v>
      </c>
    </row>
    <row r="905" spans="24:33" hidden="1" x14ac:dyDescent="0.25">
      <c r="X905">
        <v>5</v>
      </c>
      <c r="Y905" t="s">
        <v>783</v>
      </c>
      <c r="Z905" t="s">
        <v>784</v>
      </c>
      <c r="AA905" t="str">
        <f>IF(OR(VLOOKUP(Table1[[#This Row],[sheet]],Prg!$A$7:$F$31,6,FALSE)=Prg!$O$2,VLOOKUP(Table1[[#This Row],[sheet]],Prg!$A$7:$F$31,6,FALSE)=Prg!$O$3),"Yes","No")</f>
        <v>Yes</v>
      </c>
      <c r="AB905" t="s">
        <v>78</v>
      </c>
      <c r="AC905">
        <v>20</v>
      </c>
      <c r="AD905">
        <f ca="1">IF(ISERROR(VLOOKUP(Table1[[#This Row],[item]],INDIRECT("'"&amp;Table1[[#This Row],[sheet]]&amp;"'!$A$8:$T$42"),Table1[[#This Row],[r]],FALSE)),"",VLOOKUP(Table1[[#This Row],[item]],INDIRECT("'"&amp;Table1[[#This Row],[sheet]]&amp;"'!$A$8:$T$42"),Table1[[#This Row],[r]],FALSE))</f>
        <v>0</v>
      </c>
      <c r="AE905">
        <f>IF(VLOOKUP(Table1[[#This Row],[sheet]],Prg!$A$7:$J$31,10,FALSE)="","",VLOOKUP(Table1[[#This Row],[sheet]],Prg!$A$7:$J$31,10,FALSE)*1)</f>
        <v>1</v>
      </c>
      <c r="AF905" t="str">
        <f>VLOOKUP(Table1[[#This Row],[sheet]],Prg!$A$7:$J$31,5,FALSE)</f>
        <v>NIGER REP</v>
      </c>
      <c r="AG905">
        <f>ROW()</f>
        <v>905</v>
      </c>
    </row>
    <row r="906" spans="24:33" hidden="1" x14ac:dyDescent="0.25">
      <c r="X906">
        <v>5</v>
      </c>
      <c r="Y906" t="s">
        <v>785</v>
      </c>
      <c r="Z906" t="s">
        <v>786</v>
      </c>
      <c r="AA906" t="str">
        <f>IF(OR(VLOOKUP(Table1[[#This Row],[sheet]],Prg!$A$7:$F$31,6,FALSE)=Prg!$O$2,VLOOKUP(Table1[[#This Row],[sheet]],Prg!$A$7:$F$31,6,FALSE)=Prg!$O$3),"Yes","No")</f>
        <v>Yes</v>
      </c>
      <c r="AB906" t="s">
        <v>78</v>
      </c>
      <c r="AC906">
        <v>20</v>
      </c>
      <c r="AD906">
        <f ca="1">IF(ISERROR(VLOOKUP(Table1[[#This Row],[item]],INDIRECT("'"&amp;Table1[[#This Row],[sheet]]&amp;"'!$A$8:$T$42"),Table1[[#This Row],[r]],FALSE)),"",VLOOKUP(Table1[[#This Row],[item]],INDIRECT("'"&amp;Table1[[#This Row],[sheet]]&amp;"'!$A$8:$T$42"),Table1[[#This Row],[r]],FALSE))</f>
        <v>1127440.8538112</v>
      </c>
      <c r="AE906">
        <f>IF(VLOOKUP(Table1[[#This Row],[sheet]],Prg!$A$7:$J$31,10,FALSE)="","",VLOOKUP(Table1[[#This Row],[sheet]],Prg!$A$7:$J$31,10,FALSE)*1)</f>
        <v>1</v>
      </c>
      <c r="AF906" t="str">
        <f>VLOOKUP(Table1[[#This Row],[sheet]],Prg!$A$7:$J$31,5,FALSE)</f>
        <v>NIGER REP</v>
      </c>
      <c r="AG906">
        <f>ROW()</f>
        <v>906</v>
      </c>
    </row>
    <row r="907" spans="24:33" hidden="1" x14ac:dyDescent="0.25">
      <c r="X907">
        <v>5</v>
      </c>
      <c r="Y907" t="s">
        <v>787</v>
      </c>
      <c r="Z907" t="s">
        <v>633</v>
      </c>
      <c r="AA907" t="str">
        <f>IF(OR(VLOOKUP(Table1[[#This Row],[sheet]],Prg!$A$7:$F$31,6,FALSE)=Prg!$O$2,VLOOKUP(Table1[[#This Row],[sheet]],Prg!$A$7:$F$31,6,FALSE)=Prg!$O$3),"Yes","No")</f>
        <v>Yes</v>
      </c>
      <c r="AB907" t="s">
        <v>78</v>
      </c>
      <c r="AC907">
        <v>20</v>
      </c>
      <c r="AD907">
        <f ca="1">IF(ISERROR(VLOOKUP(Table1[[#This Row],[item]],INDIRECT("'"&amp;Table1[[#This Row],[sheet]]&amp;"'!$A$8:$T$42"),Table1[[#This Row],[r]],FALSE)),"",VLOOKUP(Table1[[#This Row],[item]],INDIRECT("'"&amp;Table1[[#This Row],[sheet]]&amp;"'!$A$8:$T$42"),Table1[[#This Row],[r]],FALSE))</f>
        <v>0</v>
      </c>
      <c r="AE907">
        <f>IF(VLOOKUP(Table1[[#This Row],[sheet]],Prg!$A$7:$J$31,10,FALSE)="","",VLOOKUP(Table1[[#This Row],[sheet]],Prg!$A$7:$J$31,10,FALSE)*1)</f>
        <v>1</v>
      </c>
      <c r="AF907" t="str">
        <f>VLOOKUP(Table1[[#This Row],[sheet]],Prg!$A$7:$J$31,5,FALSE)</f>
        <v>NIGER REP</v>
      </c>
      <c r="AG907">
        <f>ROW()</f>
        <v>907</v>
      </c>
    </row>
    <row r="908" spans="24:33" hidden="1" x14ac:dyDescent="0.25">
      <c r="X908">
        <v>6</v>
      </c>
      <c r="Y908" t="s">
        <v>753</v>
      </c>
      <c r="Z908" t="s">
        <v>162</v>
      </c>
      <c r="AA908" t="str">
        <f>IF(OR(VLOOKUP(Table1[[#This Row],[sheet]],Prg!$A$7:$F$31,6,FALSE)=Prg!$O$2,VLOOKUP(Table1[[#This Row],[sheet]],Prg!$A$7:$F$31,6,FALSE)=Prg!$O$3),"Yes","No")</f>
        <v>Yes</v>
      </c>
      <c r="AB908">
        <v>2022</v>
      </c>
      <c r="AC908">
        <v>15</v>
      </c>
      <c r="AD908">
        <f ca="1">IF(ISERROR(VLOOKUP(Table1[[#This Row],[item]],INDIRECT("'"&amp;Table1[[#This Row],[sheet]]&amp;"'!$A$8:$T$42"),Table1[[#This Row],[r]],FALSE)),"",VLOOKUP(Table1[[#This Row],[item]],INDIRECT("'"&amp;Table1[[#This Row],[sheet]]&amp;"'!$A$8:$T$42"),Table1[[#This Row],[r]],FALSE))</f>
        <v>202811.13</v>
      </c>
      <c r="AE908">
        <f>IF(VLOOKUP(Table1[[#This Row],[sheet]],Prg!$A$7:$J$31,10,FALSE)="","",VLOOKUP(Table1[[#This Row],[sheet]],Prg!$A$7:$J$31,10,FALSE)*1)</f>
        <v>1</v>
      </c>
      <c r="AF908" t="str">
        <f>VLOOKUP(Table1[[#This Row],[sheet]],Prg!$A$7:$J$31,5,FALSE)</f>
        <v>PALESTINE</v>
      </c>
      <c r="AG908">
        <f>ROW()</f>
        <v>908</v>
      </c>
    </row>
    <row r="909" spans="24:33" hidden="1" x14ac:dyDescent="0.25">
      <c r="X909">
        <v>6</v>
      </c>
      <c r="Y909" t="s">
        <v>754</v>
      </c>
      <c r="Z909" t="s">
        <v>164</v>
      </c>
      <c r="AA909" t="str">
        <f>IF(OR(VLOOKUP(Table1[[#This Row],[sheet]],Prg!$A$7:$F$31,6,FALSE)=Prg!$O$2,VLOOKUP(Table1[[#This Row],[sheet]],Prg!$A$7:$F$31,6,FALSE)=Prg!$O$3),"Yes","No")</f>
        <v>Yes</v>
      </c>
      <c r="AB909">
        <v>2022</v>
      </c>
      <c r="AC909">
        <v>15</v>
      </c>
      <c r="AD909">
        <f ca="1">IF(ISERROR(VLOOKUP(Table1[[#This Row],[item]],INDIRECT("'"&amp;Table1[[#This Row],[sheet]]&amp;"'!$A$8:$T$42"),Table1[[#This Row],[r]],FALSE)),"",VLOOKUP(Table1[[#This Row],[item]],INDIRECT("'"&amp;Table1[[#This Row],[sheet]]&amp;"'!$A$8:$T$42"),Table1[[#This Row],[r]],FALSE))</f>
        <v>2700</v>
      </c>
      <c r="AE909">
        <f>IF(VLOOKUP(Table1[[#This Row],[sheet]],Prg!$A$7:$J$31,10,FALSE)="","",VLOOKUP(Table1[[#This Row],[sheet]],Prg!$A$7:$J$31,10,FALSE)*1)</f>
        <v>1</v>
      </c>
      <c r="AF909" t="str">
        <f>VLOOKUP(Table1[[#This Row],[sheet]],Prg!$A$7:$J$31,5,FALSE)</f>
        <v>PALESTINE</v>
      </c>
      <c r="AG909">
        <f>ROW()</f>
        <v>909</v>
      </c>
    </row>
    <row r="910" spans="24:33" hidden="1" x14ac:dyDescent="0.25">
      <c r="X910">
        <v>6</v>
      </c>
      <c r="Y910" t="s">
        <v>755</v>
      </c>
      <c r="Z910" t="s">
        <v>166</v>
      </c>
      <c r="AA910" t="str">
        <f>IF(OR(VLOOKUP(Table1[[#This Row],[sheet]],Prg!$A$7:$F$31,6,FALSE)=Prg!$O$2,VLOOKUP(Table1[[#This Row],[sheet]],Prg!$A$7:$F$31,6,FALSE)=Prg!$O$3),"Yes","No")</f>
        <v>Yes</v>
      </c>
      <c r="AB910">
        <v>2022</v>
      </c>
      <c r="AC910">
        <v>15</v>
      </c>
      <c r="AD910">
        <f ca="1">IF(ISERROR(VLOOKUP(Table1[[#This Row],[item]],INDIRECT("'"&amp;Table1[[#This Row],[sheet]]&amp;"'!$A$8:$T$42"),Table1[[#This Row],[r]],FALSE)),"",VLOOKUP(Table1[[#This Row],[item]],INDIRECT("'"&amp;Table1[[#This Row],[sheet]]&amp;"'!$A$8:$T$42"),Table1[[#This Row],[r]],FALSE))</f>
        <v>117593.33</v>
      </c>
      <c r="AE910">
        <f>IF(VLOOKUP(Table1[[#This Row],[sheet]],Prg!$A$7:$J$31,10,FALSE)="","",VLOOKUP(Table1[[#This Row],[sheet]],Prg!$A$7:$J$31,10,FALSE)*1)</f>
        <v>1</v>
      </c>
      <c r="AF910" t="str">
        <f>VLOOKUP(Table1[[#This Row],[sheet]],Prg!$A$7:$J$31,5,FALSE)</f>
        <v>PALESTINE</v>
      </c>
      <c r="AG910">
        <f>ROW()</f>
        <v>910</v>
      </c>
    </row>
    <row r="911" spans="24:33" hidden="1" x14ac:dyDescent="0.25">
      <c r="X911">
        <v>6</v>
      </c>
      <c r="Y911" t="s">
        <v>756</v>
      </c>
      <c r="Z911" t="s">
        <v>757</v>
      </c>
      <c r="AA911" t="str">
        <f>IF(OR(VLOOKUP(Table1[[#This Row],[sheet]],Prg!$A$7:$F$31,6,FALSE)=Prg!$O$2,VLOOKUP(Table1[[#This Row],[sheet]],Prg!$A$7:$F$31,6,FALSE)=Prg!$O$3),"Yes","No")</f>
        <v>Yes</v>
      </c>
      <c r="AB911">
        <v>2022</v>
      </c>
      <c r="AC911">
        <v>15</v>
      </c>
      <c r="AD911">
        <f ca="1">IF(ISERROR(VLOOKUP(Table1[[#This Row],[item]],INDIRECT("'"&amp;Table1[[#This Row],[sheet]]&amp;"'!$A$8:$T$42"),Table1[[#This Row],[r]],FALSE)),"",VLOOKUP(Table1[[#This Row],[item]],INDIRECT("'"&amp;Table1[[#This Row],[sheet]]&amp;"'!$A$8:$T$42"),Table1[[#This Row],[r]],FALSE))</f>
        <v>82517.8</v>
      </c>
      <c r="AE911">
        <f>IF(VLOOKUP(Table1[[#This Row],[sheet]],Prg!$A$7:$J$31,10,FALSE)="","",VLOOKUP(Table1[[#This Row],[sheet]],Prg!$A$7:$J$31,10,FALSE)*1)</f>
        <v>1</v>
      </c>
      <c r="AF911" t="str">
        <f>VLOOKUP(Table1[[#This Row],[sheet]],Prg!$A$7:$J$31,5,FALSE)</f>
        <v>PALESTINE</v>
      </c>
      <c r="AG911">
        <f>ROW()</f>
        <v>911</v>
      </c>
    </row>
    <row r="912" spans="24:33" hidden="1" x14ac:dyDescent="0.25">
      <c r="X912">
        <v>6</v>
      </c>
      <c r="Y912" t="s">
        <v>758</v>
      </c>
      <c r="Z912" t="s">
        <v>170</v>
      </c>
      <c r="AA912" t="str">
        <f>IF(OR(VLOOKUP(Table1[[#This Row],[sheet]],Prg!$A$7:$F$31,6,FALSE)=Prg!$O$2,VLOOKUP(Table1[[#This Row],[sheet]],Prg!$A$7:$F$31,6,FALSE)=Prg!$O$3),"Yes","No")</f>
        <v>Yes</v>
      </c>
      <c r="AB912">
        <v>2022</v>
      </c>
      <c r="AC912">
        <v>15</v>
      </c>
      <c r="AD912">
        <f ca="1">IF(ISERROR(VLOOKUP(Table1[[#This Row],[item]],INDIRECT("'"&amp;Table1[[#This Row],[sheet]]&amp;"'!$A$8:$T$42"),Table1[[#This Row],[r]],FALSE)),"",VLOOKUP(Table1[[#This Row],[item]],INDIRECT("'"&amp;Table1[[#This Row],[sheet]]&amp;"'!$A$8:$T$42"),Table1[[#This Row],[r]],FALSE))</f>
        <v>0</v>
      </c>
      <c r="AE912">
        <f>IF(VLOOKUP(Table1[[#This Row],[sheet]],Prg!$A$7:$J$31,10,FALSE)="","",VLOOKUP(Table1[[#This Row],[sheet]],Prg!$A$7:$J$31,10,FALSE)*1)</f>
        <v>1</v>
      </c>
      <c r="AF912" t="str">
        <f>VLOOKUP(Table1[[#This Row],[sheet]],Prg!$A$7:$J$31,5,FALSE)</f>
        <v>PALESTINE</v>
      </c>
      <c r="AG912">
        <f>ROW()</f>
        <v>912</v>
      </c>
    </row>
    <row r="913" spans="24:33" hidden="1" x14ac:dyDescent="0.25">
      <c r="X913">
        <v>6</v>
      </c>
      <c r="Y913" t="s">
        <v>759</v>
      </c>
      <c r="Z913" t="s">
        <v>172</v>
      </c>
      <c r="AA913" t="str">
        <f>IF(OR(VLOOKUP(Table1[[#This Row],[sheet]],Prg!$A$7:$F$31,6,FALSE)=Prg!$O$2,VLOOKUP(Table1[[#This Row],[sheet]],Prg!$A$7:$F$31,6,FALSE)=Prg!$O$3),"Yes","No")</f>
        <v>Yes</v>
      </c>
      <c r="AB913">
        <v>2022</v>
      </c>
      <c r="AC913">
        <v>15</v>
      </c>
      <c r="AD913">
        <f ca="1">IF(ISERROR(VLOOKUP(Table1[[#This Row],[item]],INDIRECT("'"&amp;Table1[[#This Row],[sheet]]&amp;"'!$A$8:$T$42"),Table1[[#This Row],[r]],FALSE)),"",VLOOKUP(Table1[[#This Row],[item]],INDIRECT("'"&amp;Table1[[#This Row],[sheet]]&amp;"'!$A$8:$T$42"),Table1[[#This Row],[r]],FALSE))</f>
        <v>0</v>
      </c>
      <c r="AE913">
        <f>IF(VLOOKUP(Table1[[#This Row],[sheet]],Prg!$A$7:$J$31,10,FALSE)="","",VLOOKUP(Table1[[#This Row],[sheet]],Prg!$A$7:$J$31,10,FALSE)*1)</f>
        <v>1</v>
      </c>
      <c r="AF913" t="str">
        <f>VLOOKUP(Table1[[#This Row],[sheet]],Prg!$A$7:$J$31,5,FALSE)</f>
        <v>PALESTINE</v>
      </c>
      <c r="AG913">
        <f>ROW()</f>
        <v>913</v>
      </c>
    </row>
    <row r="914" spans="24:33" hidden="1" x14ac:dyDescent="0.25">
      <c r="X914">
        <v>6</v>
      </c>
      <c r="Y914" t="s">
        <v>760</v>
      </c>
      <c r="Z914" t="s">
        <v>174</v>
      </c>
      <c r="AA914" t="str">
        <f>IF(OR(VLOOKUP(Table1[[#This Row],[sheet]],Prg!$A$7:$F$31,6,FALSE)=Prg!$O$2,VLOOKUP(Table1[[#This Row],[sheet]],Prg!$A$7:$F$31,6,FALSE)=Prg!$O$3),"Yes","No")</f>
        <v>Yes</v>
      </c>
      <c r="AB914">
        <v>2022</v>
      </c>
      <c r="AC914">
        <v>15</v>
      </c>
      <c r="AD914">
        <f ca="1">IF(ISERROR(VLOOKUP(Table1[[#This Row],[item]],INDIRECT("'"&amp;Table1[[#This Row],[sheet]]&amp;"'!$A$8:$T$42"),Table1[[#This Row],[r]],FALSE)),"",VLOOKUP(Table1[[#This Row],[item]],INDIRECT("'"&amp;Table1[[#This Row],[sheet]]&amp;"'!$A$8:$T$42"),Table1[[#This Row],[r]],FALSE))</f>
        <v>0</v>
      </c>
      <c r="AE914">
        <f>IF(VLOOKUP(Table1[[#This Row],[sheet]],Prg!$A$7:$J$31,10,FALSE)="","",VLOOKUP(Table1[[#This Row],[sheet]],Prg!$A$7:$J$31,10,FALSE)*1)</f>
        <v>1</v>
      </c>
      <c r="AF914" t="str">
        <f>VLOOKUP(Table1[[#This Row],[sheet]],Prg!$A$7:$J$31,5,FALSE)</f>
        <v>PALESTINE</v>
      </c>
      <c r="AG914">
        <f>ROW()</f>
        <v>914</v>
      </c>
    </row>
    <row r="915" spans="24:33" hidden="1" x14ac:dyDescent="0.25">
      <c r="X915">
        <v>6</v>
      </c>
      <c r="Y915" t="s">
        <v>761</v>
      </c>
      <c r="Z915" t="s">
        <v>762</v>
      </c>
      <c r="AA915" t="str">
        <f>IF(OR(VLOOKUP(Table1[[#This Row],[sheet]],Prg!$A$7:$F$31,6,FALSE)=Prg!$O$2,VLOOKUP(Table1[[#This Row],[sheet]],Prg!$A$7:$F$31,6,FALSE)=Prg!$O$3),"Yes","No")</f>
        <v>Yes</v>
      </c>
      <c r="AB915">
        <v>2022</v>
      </c>
      <c r="AC915">
        <v>15</v>
      </c>
      <c r="AD915">
        <f ca="1">IF(ISERROR(VLOOKUP(Table1[[#This Row],[item]],INDIRECT("'"&amp;Table1[[#This Row],[sheet]]&amp;"'!$A$8:$T$42"),Table1[[#This Row],[r]],FALSE)),"",VLOOKUP(Table1[[#This Row],[item]],INDIRECT("'"&amp;Table1[[#This Row],[sheet]]&amp;"'!$A$8:$T$42"),Table1[[#This Row],[r]],FALSE))</f>
        <v>0</v>
      </c>
      <c r="AE915">
        <f>IF(VLOOKUP(Table1[[#This Row],[sheet]],Prg!$A$7:$J$31,10,FALSE)="","",VLOOKUP(Table1[[#This Row],[sheet]],Prg!$A$7:$J$31,10,FALSE)*1)</f>
        <v>1</v>
      </c>
      <c r="AF915" t="str">
        <f>VLOOKUP(Table1[[#This Row],[sheet]],Prg!$A$7:$J$31,5,FALSE)</f>
        <v>PALESTINE</v>
      </c>
      <c r="AG915">
        <f>ROW()</f>
        <v>915</v>
      </c>
    </row>
    <row r="916" spans="24:33" hidden="1" x14ac:dyDescent="0.25">
      <c r="X916">
        <v>6</v>
      </c>
      <c r="Y916" t="s">
        <v>763</v>
      </c>
      <c r="Z916" t="s">
        <v>178</v>
      </c>
      <c r="AA916" t="str">
        <f>IF(OR(VLOOKUP(Table1[[#This Row],[sheet]],Prg!$A$7:$F$31,6,FALSE)=Prg!$O$2,VLOOKUP(Table1[[#This Row],[sheet]],Prg!$A$7:$F$31,6,FALSE)=Prg!$O$3),"Yes","No")</f>
        <v>Yes</v>
      </c>
      <c r="AB916">
        <v>2022</v>
      </c>
      <c r="AC916">
        <v>15</v>
      </c>
      <c r="AD916">
        <f ca="1">IF(ISERROR(VLOOKUP(Table1[[#This Row],[item]],INDIRECT("'"&amp;Table1[[#This Row],[sheet]]&amp;"'!$A$8:$T$42"),Table1[[#This Row],[r]],FALSE)),"",VLOOKUP(Table1[[#This Row],[item]],INDIRECT("'"&amp;Table1[[#This Row],[sheet]]&amp;"'!$A$8:$T$42"),Table1[[#This Row],[r]],FALSE))</f>
        <v>110718.40999999999</v>
      </c>
      <c r="AE916">
        <f>IF(VLOOKUP(Table1[[#This Row],[sheet]],Prg!$A$7:$J$31,10,FALSE)="","",VLOOKUP(Table1[[#This Row],[sheet]],Prg!$A$7:$J$31,10,FALSE)*1)</f>
        <v>1</v>
      </c>
      <c r="AF916" t="str">
        <f>VLOOKUP(Table1[[#This Row],[sheet]],Prg!$A$7:$J$31,5,FALSE)</f>
        <v>PALESTINE</v>
      </c>
      <c r="AG916">
        <f>ROW()</f>
        <v>916</v>
      </c>
    </row>
    <row r="917" spans="24:33" hidden="1" x14ac:dyDescent="0.25">
      <c r="X917">
        <v>6</v>
      </c>
      <c r="Y917" t="s">
        <v>764</v>
      </c>
      <c r="Z917" t="s">
        <v>109</v>
      </c>
      <c r="AA917" t="str">
        <f>IF(OR(VLOOKUP(Table1[[#This Row],[sheet]],Prg!$A$7:$F$31,6,FALSE)=Prg!$O$2,VLOOKUP(Table1[[#This Row],[sheet]],Prg!$A$7:$F$31,6,FALSE)=Prg!$O$3),"Yes","No")</f>
        <v>Yes</v>
      </c>
      <c r="AB917">
        <v>2022</v>
      </c>
      <c r="AC917">
        <v>15</v>
      </c>
      <c r="AD917">
        <f ca="1">IF(ISERROR(VLOOKUP(Table1[[#This Row],[item]],INDIRECT("'"&amp;Table1[[#This Row],[sheet]]&amp;"'!$A$8:$T$42"),Table1[[#This Row],[r]],FALSE)),"",VLOOKUP(Table1[[#This Row],[item]],INDIRECT("'"&amp;Table1[[#This Row],[sheet]]&amp;"'!$A$8:$T$42"),Table1[[#This Row],[r]],FALSE))</f>
        <v>0</v>
      </c>
      <c r="AE917">
        <f>IF(VLOOKUP(Table1[[#This Row],[sheet]],Prg!$A$7:$J$31,10,FALSE)="","",VLOOKUP(Table1[[#This Row],[sheet]],Prg!$A$7:$J$31,10,FALSE)*1)</f>
        <v>1</v>
      </c>
      <c r="AF917" t="str">
        <f>VLOOKUP(Table1[[#This Row],[sheet]],Prg!$A$7:$J$31,5,FALSE)</f>
        <v>PALESTINE</v>
      </c>
      <c r="AG917">
        <f>ROW()</f>
        <v>917</v>
      </c>
    </row>
    <row r="918" spans="24:33" hidden="1" x14ac:dyDescent="0.25">
      <c r="X918">
        <v>6</v>
      </c>
      <c r="Y918" t="s">
        <v>765</v>
      </c>
      <c r="Z918" t="s">
        <v>117</v>
      </c>
      <c r="AA918" t="str">
        <f>IF(OR(VLOOKUP(Table1[[#This Row],[sheet]],Prg!$A$7:$F$31,6,FALSE)=Prg!$O$2,VLOOKUP(Table1[[#This Row],[sheet]],Prg!$A$7:$F$31,6,FALSE)=Prg!$O$3),"Yes","No")</f>
        <v>Yes</v>
      </c>
      <c r="AB918">
        <v>2022</v>
      </c>
      <c r="AC918">
        <v>15</v>
      </c>
      <c r="AD918">
        <f ca="1">IF(ISERROR(VLOOKUP(Table1[[#This Row],[item]],INDIRECT("'"&amp;Table1[[#This Row],[sheet]]&amp;"'!$A$8:$T$42"),Table1[[#This Row],[r]],FALSE)),"",VLOOKUP(Table1[[#This Row],[item]],INDIRECT("'"&amp;Table1[[#This Row],[sheet]]&amp;"'!$A$8:$T$42"),Table1[[#This Row],[r]],FALSE))</f>
        <v>12349.9</v>
      </c>
      <c r="AE918">
        <f>IF(VLOOKUP(Table1[[#This Row],[sheet]],Prg!$A$7:$J$31,10,FALSE)="","",VLOOKUP(Table1[[#This Row],[sheet]],Prg!$A$7:$J$31,10,FALSE)*1)</f>
        <v>1</v>
      </c>
      <c r="AF918" t="str">
        <f>VLOOKUP(Table1[[#This Row],[sheet]],Prg!$A$7:$J$31,5,FALSE)</f>
        <v>PALESTINE</v>
      </c>
      <c r="AG918">
        <f>ROW()</f>
        <v>918</v>
      </c>
    </row>
    <row r="919" spans="24:33" hidden="1" x14ac:dyDescent="0.25">
      <c r="X919">
        <v>6</v>
      </c>
      <c r="Y919" t="s">
        <v>766</v>
      </c>
      <c r="Z919" t="s">
        <v>767</v>
      </c>
      <c r="AA919" t="str">
        <f>IF(OR(VLOOKUP(Table1[[#This Row],[sheet]],Prg!$A$7:$F$31,6,FALSE)=Prg!$O$2,VLOOKUP(Table1[[#This Row],[sheet]],Prg!$A$7:$F$31,6,FALSE)=Prg!$O$3),"Yes","No")</f>
        <v>Yes</v>
      </c>
      <c r="AB919">
        <v>2022</v>
      </c>
      <c r="AC919">
        <v>15</v>
      </c>
      <c r="AD919">
        <f ca="1">IF(ISERROR(VLOOKUP(Table1[[#This Row],[item]],INDIRECT("'"&amp;Table1[[#This Row],[sheet]]&amp;"'!$A$8:$T$42"),Table1[[#This Row],[r]],FALSE)),"",VLOOKUP(Table1[[#This Row],[item]],INDIRECT("'"&amp;Table1[[#This Row],[sheet]]&amp;"'!$A$8:$T$42"),Table1[[#This Row],[r]],FALSE))</f>
        <v>98368.51</v>
      </c>
      <c r="AE919">
        <f>IF(VLOOKUP(Table1[[#This Row],[sheet]],Prg!$A$7:$J$31,10,FALSE)="","",VLOOKUP(Table1[[#This Row],[sheet]],Prg!$A$7:$J$31,10,FALSE)*1)</f>
        <v>1</v>
      </c>
      <c r="AF919" t="str">
        <f>VLOOKUP(Table1[[#This Row],[sheet]],Prg!$A$7:$J$31,5,FALSE)</f>
        <v>PALESTINE</v>
      </c>
      <c r="AG919">
        <f>ROW()</f>
        <v>919</v>
      </c>
    </row>
    <row r="920" spans="24:33" hidden="1" x14ac:dyDescent="0.25">
      <c r="X920">
        <v>6</v>
      </c>
      <c r="Y920" t="s">
        <v>768</v>
      </c>
      <c r="Z920" t="s">
        <v>182</v>
      </c>
      <c r="AA920" t="str">
        <f>IF(OR(VLOOKUP(Table1[[#This Row],[sheet]],Prg!$A$7:$F$31,6,FALSE)=Prg!$O$2,VLOOKUP(Table1[[#This Row],[sheet]],Prg!$A$7:$F$31,6,FALSE)=Prg!$O$3),"Yes","No")</f>
        <v>Yes</v>
      </c>
      <c r="AB920">
        <v>2022</v>
      </c>
      <c r="AC920">
        <v>15</v>
      </c>
      <c r="AD920">
        <f ca="1">IF(ISERROR(VLOOKUP(Table1[[#This Row],[item]],INDIRECT("'"&amp;Table1[[#This Row],[sheet]]&amp;"'!$A$8:$T$42"),Table1[[#This Row],[r]],FALSE)),"",VLOOKUP(Table1[[#This Row],[item]],INDIRECT("'"&amp;Table1[[#This Row],[sheet]]&amp;"'!$A$8:$T$42"),Table1[[#This Row],[r]],FALSE))</f>
        <v>3000</v>
      </c>
      <c r="AE920">
        <f>IF(VLOOKUP(Table1[[#This Row],[sheet]],Prg!$A$7:$J$31,10,FALSE)="","",VLOOKUP(Table1[[#This Row],[sheet]],Prg!$A$7:$J$31,10,FALSE)*1)</f>
        <v>1</v>
      </c>
      <c r="AF920" t="str">
        <f>VLOOKUP(Table1[[#This Row],[sheet]],Prg!$A$7:$J$31,5,FALSE)</f>
        <v>PALESTINE</v>
      </c>
      <c r="AG920">
        <f>ROW()</f>
        <v>920</v>
      </c>
    </row>
    <row r="921" spans="24:33" hidden="1" x14ac:dyDescent="0.25">
      <c r="X921">
        <v>6</v>
      </c>
      <c r="Y921" t="s">
        <v>769</v>
      </c>
      <c r="Z921" t="s">
        <v>184</v>
      </c>
      <c r="AA921" t="str">
        <f>IF(OR(VLOOKUP(Table1[[#This Row],[sheet]],Prg!$A$7:$F$31,6,FALSE)=Prg!$O$2,VLOOKUP(Table1[[#This Row],[sheet]],Prg!$A$7:$F$31,6,FALSE)=Prg!$O$3),"Yes","No")</f>
        <v>Yes</v>
      </c>
      <c r="AB921">
        <v>2022</v>
      </c>
      <c r="AC921">
        <v>15</v>
      </c>
      <c r="AD921">
        <f ca="1">IF(ISERROR(VLOOKUP(Table1[[#This Row],[item]],INDIRECT("'"&amp;Table1[[#This Row],[sheet]]&amp;"'!$A$8:$T$42"),Table1[[#This Row],[r]],FALSE)),"",VLOOKUP(Table1[[#This Row],[item]],INDIRECT("'"&amp;Table1[[#This Row],[sheet]]&amp;"'!$A$8:$T$42"),Table1[[#This Row],[r]],FALSE))</f>
        <v>0</v>
      </c>
      <c r="AE921">
        <f>IF(VLOOKUP(Table1[[#This Row],[sheet]],Prg!$A$7:$J$31,10,FALSE)="","",VLOOKUP(Table1[[#This Row],[sheet]],Prg!$A$7:$J$31,10,FALSE)*1)</f>
        <v>1</v>
      </c>
      <c r="AF921" t="str">
        <f>VLOOKUP(Table1[[#This Row],[sheet]],Prg!$A$7:$J$31,5,FALSE)</f>
        <v>PALESTINE</v>
      </c>
      <c r="AG921">
        <f>ROW()</f>
        <v>921</v>
      </c>
    </row>
    <row r="922" spans="24:33" hidden="1" x14ac:dyDescent="0.25">
      <c r="X922">
        <v>6</v>
      </c>
      <c r="Y922" t="s">
        <v>770</v>
      </c>
      <c r="Z922" t="s">
        <v>186</v>
      </c>
      <c r="AA922" t="str">
        <f>IF(OR(VLOOKUP(Table1[[#This Row],[sheet]],Prg!$A$7:$F$31,6,FALSE)=Prg!$O$2,VLOOKUP(Table1[[#This Row],[sheet]],Prg!$A$7:$F$31,6,FALSE)=Prg!$O$3),"Yes","No")</f>
        <v>Yes</v>
      </c>
      <c r="AB922">
        <v>2022</v>
      </c>
      <c r="AC922">
        <v>15</v>
      </c>
      <c r="AD922">
        <f ca="1">IF(ISERROR(VLOOKUP(Table1[[#This Row],[item]],INDIRECT("'"&amp;Table1[[#This Row],[sheet]]&amp;"'!$A$8:$T$42"),Table1[[#This Row],[r]],FALSE)),"",VLOOKUP(Table1[[#This Row],[item]],INDIRECT("'"&amp;Table1[[#This Row],[sheet]]&amp;"'!$A$8:$T$42"),Table1[[#This Row],[r]],FALSE))</f>
        <v>3000</v>
      </c>
      <c r="AE922">
        <f>IF(VLOOKUP(Table1[[#This Row],[sheet]],Prg!$A$7:$J$31,10,FALSE)="","",VLOOKUP(Table1[[#This Row],[sheet]],Prg!$A$7:$J$31,10,FALSE)*1)</f>
        <v>1</v>
      </c>
      <c r="AF922" t="str">
        <f>VLOOKUP(Table1[[#This Row],[sheet]],Prg!$A$7:$J$31,5,FALSE)</f>
        <v>PALESTINE</v>
      </c>
      <c r="AG922">
        <f>ROW()</f>
        <v>922</v>
      </c>
    </row>
    <row r="923" spans="24:33" hidden="1" x14ac:dyDescent="0.25">
      <c r="X923">
        <v>6</v>
      </c>
      <c r="Y923" t="s">
        <v>771</v>
      </c>
      <c r="Z923" t="s">
        <v>772</v>
      </c>
      <c r="AA923" t="str">
        <f>IF(OR(VLOOKUP(Table1[[#This Row],[sheet]],Prg!$A$7:$F$31,6,FALSE)=Prg!$O$2,VLOOKUP(Table1[[#This Row],[sheet]],Prg!$A$7:$F$31,6,FALSE)=Prg!$O$3),"Yes","No")</f>
        <v>Yes</v>
      </c>
      <c r="AB923">
        <v>2022</v>
      </c>
      <c r="AC923">
        <v>15</v>
      </c>
      <c r="AD923">
        <f ca="1">IF(ISERROR(VLOOKUP(Table1[[#This Row],[item]],INDIRECT("'"&amp;Table1[[#This Row],[sheet]]&amp;"'!$A$8:$T$42"),Table1[[#This Row],[r]],FALSE)),"",VLOOKUP(Table1[[#This Row],[item]],INDIRECT("'"&amp;Table1[[#This Row],[sheet]]&amp;"'!$A$8:$T$42"),Table1[[#This Row],[r]],FALSE))</f>
        <v>0</v>
      </c>
      <c r="AE923">
        <f>IF(VLOOKUP(Table1[[#This Row],[sheet]],Prg!$A$7:$J$31,10,FALSE)="","",VLOOKUP(Table1[[#This Row],[sheet]],Prg!$A$7:$J$31,10,FALSE)*1)</f>
        <v>1</v>
      </c>
      <c r="AF923" t="str">
        <f>VLOOKUP(Table1[[#This Row],[sheet]],Prg!$A$7:$J$31,5,FALSE)</f>
        <v>PALESTINE</v>
      </c>
      <c r="AG923">
        <f>ROW()</f>
        <v>923</v>
      </c>
    </row>
    <row r="924" spans="24:33" hidden="1" x14ac:dyDescent="0.25">
      <c r="X924">
        <v>6</v>
      </c>
      <c r="Y924" t="s">
        <v>773</v>
      </c>
      <c r="Z924" t="s">
        <v>190</v>
      </c>
      <c r="AA924" t="str">
        <f>IF(OR(VLOOKUP(Table1[[#This Row],[sheet]],Prg!$A$7:$F$31,6,FALSE)=Prg!$O$2,VLOOKUP(Table1[[#This Row],[sheet]],Prg!$A$7:$F$31,6,FALSE)=Prg!$O$3),"Yes","No")</f>
        <v>Yes</v>
      </c>
      <c r="AB924">
        <v>2022</v>
      </c>
      <c r="AC924">
        <v>15</v>
      </c>
      <c r="AD924">
        <f ca="1">IF(ISERROR(VLOOKUP(Table1[[#This Row],[item]],INDIRECT("'"&amp;Table1[[#This Row],[sheet]]&amp;"'!$A$8:$T$42"),Table1[[#This Row],[r]],FALSE)),"",VLOOKUP(Table1[[#This Row],[item]],INDIRECT("'"&amp;Table1[[#This Row],[sheet]]&amp;"'!$A$8:$T$42"),Table1[[#This Row],[r]],FALSE))</f>
        <v>316529.54000000004</v>
      </c>
      <c r="AE924">
        <f>IF(VLOOKUP(Table1[[#This Row],[sheet]],Prg!$A$7:$J$31,10,FALSE)="","",VLOOKUP(Table1[[#This Row],[sheet]],Prg!$A$7:$J$31,10,FALSE)*1)</f>
        <v>1</v>
      </c>
      <c r="AF924" t="str">
        <f>VLOOKUP(Table1[[#This Row],[sheet]],Prg!$A$7:$J$31,5,FALSE)</f>
        <v>PALESTINE</v>
      </c>
      <c r="AG924">
        <f>ROW()</f>
        <v>924</v>
      </c>
    </row>
    <row r="925" spans="24:33" hidden="1" x14ac:dyDescent="0.25">
      <c r="X925">
        <v>6</v>
      </c>
      <c r="Y925" t="s">
        <v>709</v>
      </c>
      <c r="Z925" t="s">
        <v>192</v>
      </c>
      <c r="AA925" t="str">
        <f>IF(OR(VLOOKUP(Table1[[#This Row],[sheet]],Prg!$A$7:$F$31,6,FALSE)=Prg!$O$2,VLOOKUP(Table1[[#This Row],[sheet]],Prg!$A$7:$F$31,6,FALSE)=Prg!$O$3),"Yes","No")</f>
        <v>Yes</v>
      </c>
      <c r="AB925">
        <v>2022</v>
      </c>
      <c r="AC925">
        <v>15</v>
      </c>
      <c r="AD925">
        <f ca="1">IF(ISERROR(VLOOKUP(Table1[[#This Row],[item]],INDIRECT("'"&amp;Table1[[#This Row],[sheet]]&amp;"'!$A$8:$T$42"),Table1[[#This Row],[r]],FALSE)),"",VLOOKUP(Table1[[#This Row],[item]],INDIRECT("'"&amp;Table1[[#This Row],[sheet]]&amp;"'!$A$8:$T$42"),Table1[[#This Row],[r]],FALSE))</f>
        <v>2700</v>
      </c>
      <c r="AE925">
        <f>IF(VLOOKUP(Table1[[#This Row],[sheet]],Prg!$A$7:$J$31,10,FALSE)="","",VLOOKUP(Table1[[#This Row],[sheet]],Prg!$A$7:$J$31,10,FALSE)*1)</f>
        <v>1</v>
      </c>
      <c r="AF925" t="str">
        <f>VLOOKUP(Table1[[#This Row],[sheet]],Prg!$A$7:$J$31,5,FALSE)</f>
        <v>PALESTINE</v>
      </c>
      <c r="AG925">
        <f>ROW()</f>
        <v>925</v>
      </c>
    </row>
    <row r="926" spans="24:33" hidden="1" x14ac:dyDescent="0.25">
      <c r="X926">
        <v>6</v>
      </c>
      <c r="Y926" t="s">
        <v>774</v>
      </c>
      <c r="Z926" t="s">
        <v>194</v>
      </c>
      <c r="AA926" t="str">
        <f>IF(OR(VLOOKUP(Table1[[#This Row],[sheet]],Prg!$A$7:$F$31,6,FALSE)=Prg!$O$2,VLOOKUP(Table1[[#This Row],[sheet]],Prg!$A$7:$F$31,6,FALSE)=Prg!$O$3),"Yes","No")</f>
        <v>Yes</v>
      </c>
      <c r="AB926">
        <v>2022</v>
      </c>
      <c r="AC926">
        <v>15</v>
      </c>
      <c r="AD926">
        <f ca="1">IF(ISERROR(VLOOKUP(Table1[[#This Row],[item]],INDIRECT("'"&amp;Table1[[#This Row],[sheet]]&amp;"'!$A$8:$T$42"),Table1[[#This Row],[r]],FALSE)),"",VLOOKUP(Table1[[#This Row],[item]],INDIRECT("'"&amp;Table1[[#This Row],[sheet]]&amp;"'!$A$8:$T$42"),Table1[[#This Row],[r]],FALSE))</f>
        <v>0</v>
      </c>
      <c r="AE926">
        <f>IF(VLOOKUP(Table1[[#This Row],[sheet]],Prg!$A$7:$J$31,10,FALSE)="","",VLOOKUP(Table1[[#This Row],[sheet]],Prg!$A$7:$J$31,10,FALSE)*1)</f>
        <v>1</v>
      </c>
      <c r="AF926" t="str">
        <f>VLOOKUP(Table1[[#This Row],[sheet]],Prg!$A$7:$J$31,5,FALSE)</f>
        <v>PALESTINE</v>
      </c>
      <c r="AG926">
        <f>ROW()</f>
        <v>926</v>
      </c>
    </row>
    <row r="927" spans="24:33" hidden="1" x14ac:dyDescent="0.25">
      <c r="X927">
        <v>6</v>
      </c>
      <c r="Y927" t="s">
        <v>775</v>
      </c>
      <c r="Z927" t="s">
        <v>196</v>
      </c>
      <c r="AA927" t="str">
        <f>IF(OR(VLOOKUP(Table1[[#This Row],[sheet]],Prg!$A$7:$F$31,6,FALSE)=Prg!$O$2,VLOOKUP(Table1[[#This Row],[sheet]],Prg!$A$7:$F$31,6,FALSE)=Prg!$O$3),"Yes","No")</f>
        <v>Yes</v>
      </c>
      <c r="AB927">
        <v>2022</v>
      </c>
      <c r="AC927">
        <v>15</v>
      </c>
      <c r="AD927">
        <f ca="1">IF(ISERROR(VLOOKUP(Table1[[#This Row],[item]],INDIRECT("'"&amp;Table1[[#This Row],[sheet]]&amp;"'!$A$8:$T$42"),Table1[[#This Row],[r]],FALSE)),"",VLOOKUP(Table1[[#This Row],[item]],INDIRECT("'"&amp;Table1[[#This Row],[sheet]]&amp;"'!$A$8:$T$42"),Table1[[#This Row],[r]],FALSE))</f>
        <v>2700</v>
      </c>
      <c r="AE927">
        <f>IF(VLOOKUP(Table1[[#This Row],[sheet]],Prg!$A$7:$J$31,10,FALSE)="","",VLOOKUP(Table1[[#This Row],[sheet]],Prg!$A$7:$J$31,10,FALSE)*1)</f>
        <v>1</v>
      </c>
      <c r="AF927" t="str">
        <f>VLOOKUP(Table1[[#This Row],[sheet]],Prg!$A$7:$J$31,5,FALSE)</f>
        <v>PALESTINE</v>
      </c>
      <c r="AG927">
        <f>ROW()</f>
        <v>927</v>
      </c>
    </row>
    <row r="928" spans="24:33" hidden="1" x14ac:dyDescent="0.25">
      <c r="X928">
        <v>6</v>
      </c>
      <c r="Y928" t="s">
        <v>776</v>
      </c>
      <c r="Z928" t="s">
        <v>605</v>
      </c>
      <c r="AA928" t="str">
        <f>IF(OR(VLOOKUP(Table1[[#This Row],[sheet]],Prg!$A$7:$F$31,6,FALSE)=Prg!$O$2,VLOOKUP(Table1[[#This Row],[sheet]],Prg!$A$7:$F$31,6,FALSE)=Prg!$O$3),"Yes","No")</f>
        <v>Yes</v>
      </c>
      <c r="AB928">
        <v>2022</v>
      </c>
      <c r="AC928">
        <v>15</v>
      </c>
      <c r="AD928">
        <f ca="1">IF(ISERROR(VLOOKUP(Table1[[#This Row],[item]],INDIRECT("'"&amp;Table1[[#This Row],[sheet]]&amp;"'!$A$8:$T$42"),Table1[[#This Row],[r]],FALSE)),"",VLOOKUP(Table1[[#This Row],[item]],INDIRECT("'"&amp;Table1[[#This Row],[sheet]]&amp;"'!$A$8:$T$42"),Table1[[#This Row],[r]],FALSE))</f>
        <v>0</v>
      </c>
      <c r="AE928">
        <f>IF(VLOOKUP(Table1[[#This Row],[sheet]],Prg!$A$7:$J$31,10,FALSE)="","",VLOOKUP(Table1[[#This Row],[sheet]],Prg!$A$7:$J$31,10,FALSE)*1)</f>
        <v>1</v>
      </c>
      <c r="AF928" t="str">
        <f>VLOOKUP(Table1[[#This Row],[sheet]],Prg!$A$7:$J$31,5,FALSE)</f>
        <v>PALESTINE</v>
      </c>
      <c r="AG928">
        <f>ROW()</f>
        <v>928</v>
      </c>
    </row>
    <row r="929" spans="24:33" hidden="1" x14ac:dyDescent="0.25">
      <c r="X929">
        <v>6</v>
      </c>
      <c r="Y929" t="s">
        <v>711</v>
      </c>
      <c r="Z929" t="s">
        <v>200</v>
      </c>
      <c r="AA929" t="str">
        <f>IF(OR(VLOOKUP(Table1[[#This Row],[sheet]],Prg!$A$7:$F$31,6,FALSE)=Prg!$O$2,VLOOKUP(Table1[[#This Row],[sheet]],Prg!$A$7:$F$31,6,FALSE)=Prg!$O$3),"Yes","No")</f>
        <v>Yes</v>
      </c>
      <c r="AB929">
        <v>2022</v>
      </c>
      <c r="AC929">
        <v>15</v>
      </c>
      <c r="AD929">
        <f ca="1">IF(ISERROR(VLOOKUP(Table1[[#This Row],[item]],INDIRECT("'"&amp;Table1[[#This Row],[sheet]]&amp;"'!$A$8:$T$42"),Table1[[#This Row],[r]],FALSE)),"",VLOOKUP(Table1[[#This Row],[item]],INDIRECT("'"&amp;Table1[[#This Row],[sheet]]&amp;"'!$A$8:$T$42"),Table1[[#This Row],[r]],FALSE))</f>
        <v>132943.23000000001</v>
      </c>
      <c r="AE929">
        <f>IF(VLOOKUP(Table1[[#This Row],[sheet]],Prg!$A$7:$J$31,10,FALSE)="","",VLOOKUP(Table1[[#This Row],[sheet]],Prg!$A$7:$J$31,10,FALSE)*1)</f>
        <v>1</v>
      </c>
      <c r="AF929" t="str">
        <f>VLOOKUP(Table1[[#This Row],[sheet]],Prg!$A$7:$J$31,5,FALSE)</f>
        <v>PALESTINE</v>
      </c>
      <c r="AG929">
        <f>ROW()</f>
        <v>929</v>
      </c>
    </row>
    <row r="930" spans="24:33" hidden="1" x14ac:dyDescent="0.25">
      <c r="X930">
        <v>6</v>
      </c>
      <c r="Y930" t="s">
        <v>777</v>
      </c>
      <c r="Z930" t="s">
        <v>202</v>
      </c>
      <c r="AA930" t="str">
        <f>IF(OR(VLOOKUP(Table1[[#This Row],[sheet]],Prg!$A$7:$F$31,6,FALSE)=Prg!$O$2,VLOOKUP(Table1[[#This Row],[sheet]],Prg!$A$7:$F$31,6,FALSE)=Prg!$O$3),"Yes","No")</f>
        <v>Yes</v>
      </c>
      <c r="AB930">
        <v>2022</v>
      </c>
      <c r="AC930">
        <v>15</v>
      </c>
      <c r="AD930">
        <f ca="1">IF(ISERROR(VLOOKUP(Table1[[#This Row],[item]],INDIRECT("'"&amp;Table1[[#This Row],[sheet]]&amp;"'!$A$8:$T$42"),Table1[[#This Row],[r]],FALSE)),"",VLOOKUP(Table1[[#This Row],[item]],INDIRECT("'"&amp;Table1[[#This Row],[sheet]]&amp;"'!$A$8:$T$42"),Table1[[#This Row],[r]],FALSE))</f>
        <v>14960</v>
      </c>
      <c r="AE930">
        <f>IF(VLOOKUP(Table1[[#This Row],[sheet]],Prg!$A$7:$J$31,10,FALSE)="","",VLOOKUP(Table1[[#This Row],[sheet]],Prg!$A$7:$J$31,10,FALSE)*1)</f>
        <v>1</v>
      </c>
      <c r="AF930" t="str">
        <f>VLOOKUP(Table1[[#This Row],[sheet]],Prg!$A$7:$J$31,5,FALSE)</f>
        <v>PALESTINE</v>
      </c>
      <c r="AG930">
        <f>ROW()</f>
        <v>930</v>
      </c>
    </row>
    <row r="931" spans="24:33" hidden="1" x14ac:dyDescent="0.25">
      <c r="X931">
        <v>6</v>
      </c>
      <c r="Y931" t="s">
        <v>778</v>
      </c>
      <c r="Z931" t="s">
        <v>204</v>
      </c>
      <c r="AA931" t="str">
        <f>IF(OR(VLOOKUP(Table1[[#This Row],[sheet]],Prg!$A$7:$F$31,6,FALSE)=Prg!$O$2,VLOOKUP(Table1[[#This Row],[sheet]],Prg!$A$7:$F$31,6,FALSE)=Prg!$O$3),"Yes","No")</f>
        <v>Yes</v>
      </c>
      <c r="AB931">
        <v>2022</v>
      </c>
      <c r="AC931">
        <v>15</v>
      </c>
      <c r="AD931">
        <f ca="1">IF(ISERROR(VLOOKUP(Table1[[#This Row],[item]],INDIRECT("'"&amp;Table1[[#This Row],[sheet]]&amp;"'!$A$8:$T$42"),Table1[[#This Row],[r]],FALSE)),"",VLOOKUP(Table1[[#This Row],[item]],INDIRECT("'"&amp;Table1[[#This Row],[sheet]]&amp;"'!$A$8:$T$42"),Table1[[#This Row],[r]],FALSE))</f>
        <v>24349.9</v>
      </c>
      <c r="AE931">
        <f>IF(VLOOKUP(Table1[[#This Row],[sheet]],Prg!$A$7:$J$31,10,FALSE)="","",VLOOKUP(Table1[[#This Row],[sheet]],Prg!$A$7:$J$31,10,FALSE)*1)</f>
        <v>1</v>
      </c>
      <c r="AF931" t="str">
        <f>VLOOKUP(Table1[[#This Row],[sheet]],Prg!$A$7:$J$31,5,FALSE)</f>
        <v>PALESTINE</v>
      </c>
      <c r="AG931">
        <f>ROW()</f>
        <v>931</v>
      </c>
    </row>
    <row r="932" spans="24:33" hidden="1" x14ac:dyDescent="0.25">
      <c r="X932">
        <v>6</v>
      </c>
      <c r="Y932" t="s">
        <v>779</v>
      </c>
      <c r="Z932" t="s">
        <v>605</v>
      </c>
      <c r="AA932" t="str">
        <f>IF(OR(VLOOKUP(Table1[[#This Row],[sheet]],Prg!$A$7:$F$31,6,FALSE)=Prg!$O$2,VLOOKUP(Table1[[#This Row],[sheet]],Prg!$A$7:$F$31,6,FALSE)=Prg!$O$3),"Yes","No")</f>
        <v>Yes</v>
      </c>
      <c r="AB932">
        <v>2022</v>
      </c>
      <c r="AC932">
        <v>15</v>
      </c>
      <c r="AD932">
        <f ca="1">IF(ISERROR(VLOOKUP(Table1[[#This Row],[item]],INDIRECT("'"&amp;Table1[[#This Row],[sheet]]&amp;"'!$A$8:$T$42"),Table1[[#This Row],[r]],FALSE)),"",VLOOKUP(Table1[[#This Row],[item]],INDIRECT("'"&amp;Table1[[#This Row],[sheet]]&amp;"'!$A$8:$T$42"),Table1[[#This Row],[r]],FALSE))</f>
        <v>93633.33</v>
      </c>
      <c r="AE932">
        <f>IF(VLOOKUP(Table1[[#This Row],[sheet]],Prg!$A$7:$J$31,10,FALSE)="","",VLOOKUP(Table1[[#This Row],[sheet]],Prg!$A$7:$J$31,10,FALSE)*1)</f>
        <v>1</v>
      </c>
      <c r="AF932" t="str">
        <f>VLOOKUP(Table1[[#This Row],[sheet]],Prg!$A$7:$J$31,5,FALSE)</f>
        <v>PALESTINE</v>
      </c>
      <c r="AG932">
        <f>ROW()</f>
        <v>932</v>
      </c>
    </row>
    <row r="933" spans="24:33" hidden="1" x14ac:dyDescent="0.25">
      <c r="X933">
        <v>6</v>
      </c>
      <c r="Y933" t="s">
        <v>712</v>
      </c>
      <c r="Z933" t="s">
        <v>780</v>
      </c>
      <c r="AA933" t="str">
        <f>IF(OR(VLOOKUP(Table1[[#This Row],[sheet]],Prg!$A$7:$F$31,6,FALSE)=Prg!$O$2,VLOOKUP(Table1[[#This Row],[sheet]],Prg!$A$7:$F$31,6,FALSE)=Prg!$O$3),"Yes","No")</f>
        <v>Yes</v>
      </c>
      <c r="AB933">
        <v>2022</v>
      </c>
      <c r="AC933">
        <v>15</v>
      </c>
      <c r="AD933">
        <f ca="1">IF(ISERROR(VLOOKUP(Table1[[#This Row],[item]],INDIRECT("'"&amp;Table1[[#This Row],[sheet]]&amp;"'!$A$8:$T$42"),Table1[[#This Row],[r]],FALSE)),"",VLOOKUP(Table1[[#This Row],[item]],INDIRECT("'"&amp;Table1[[#This Row],[sheet]]&amp;"'!$A$8:$T$42"),Table1[[#This Row],[r]],FALSE))</f>
        <v>180886.31</v>
      </c>
      <c r="AE933">
        <f>IF(VLOOKUP(Table1[[#This Row],[sheet]],Prg!$A$7:$J$31,10,FALSE)="","",VLOOKUP(Table1[[#This Row],[sheet]],Prg!$A$7:$J$31,10,FALSE)*1)</f>
        <v>1</v>
      </c>
      <c r="AF933" t="str">
        <f>VLOOKUP(Table1[[#This Row],[sheet]],Prg!$A$7:$J$31,5,FALSE)</f>
        <v>PALESTINE</v>
      </c>
      <c r="AG933">
        <f>ROW()</f>
        <v>933</v>
      </c>
    </row>
    <row r="934" spans="24:33" hidden="1" x14ac:dyDescent="0.25">
      <c r="X934">
        <v>6</v>
      </c>
      <c r="Y934" t="s">
        <v>781</v>
      </c>
      <c r="Z934" t="s">
        <v>782</v>
      </c>
      <c r="AA934" t="str">
        <f>IF(OR(VLOOKUP(Table1[[#This Row],[sheet]],Prg!$A$7:$F$31,6,FALSE)=Prg!$O$2,VLOOKUP(Table1[[#This Row],[sheet]],Prg!$A$7:$F$31,6,FALSE)=Prg!$O$3),"Yes","No")</f>
        <v>Yes</v>
      </c>
      <c r="AB934">
        <v>2022</v>
      </c>
      <c r="AC934">
        <v>15</v>
      </c>
      <c r="AD934">
        <f ca="1">IF(ISERROR(VLOOKUP(Table1[[#This Row],[item]],INDIRECT("'"&amp;Table1[[#This Row],[sheet]]&amp;"'!$A$8:$T$42"),Table1[[#This Row],[r]],FALSE)),"",VLOOKUP(Table1[[#This Row],[item]],INDIRECT("'"&amp;Table1[[#This Row],[sheet]]&amp;"'!$A$8:$T$42"),Table1[[#This Row],[r]],FALSE))</f>
        <v>0</v>
      </c>
      <c r="AE934">
        <f>IF(VLOOKUP(Table1[[#This Row],[sheet]],Prg!$A$7:$J$31,10,FALSE)="","",VLOOKUP(Table1[[#This Row],[sheet]],Prg!$A$7:$J$31,10,FALSE)*1)</f>
        <v>1</v>
      </c>
      <c r="AF934" t="str">
        <f>VLOOKUP(Table1[[#This Row],[sheet]],Prg!$A$7:$J$31,5,FALSE)</f>
        <v>PALESTINE</v>
      </c>
      <c r="AG934">
        <f>ROW()</f>
        <v>934</v>
      </c>
    </row>
    <row r="935" spans="24:33" hidden="1" x14ac:dyDescent="0.25">
      <c r="X935">
        <v>6</v>
      </c>
      <c r="Y935" t="s">
        <v>783</v>
      </c>
      <c r="Z935" t="s">
        <v>784</v>
      </c>
      <c r="AA935" t="str">
        <f>IF(OR(VLOOKUP(Table1[[#This Row],[sheet]],Prg!$A$7:$F$31,6,FALSE)=Prg!$O$2,VLOOKUP(Table1[[#This Row],[sheet]],Prg!$A$7:$F$31,6,FALSE)=Prg!$O$3),"Yes","No")</f>
        <v>Yes</v>
      </c>
      <c r="AB935">
        <v>2022</v>
      </c>
      <c r="AC935">
        <v>15</v>
      </c>
      <c r="AD935">
        <f ca="1">IF(ISERROR(VLOOKUP(Table1[[#This Row],[item]],INDIRECT("'"&amp;Table1[[#This Row],[sheet]]&amp;"'!$A$8:$T$42"),Table1[[#This Row],[r]],FALSE)),"",VLOOKUP(Table1[[#This Row],[item]],INDIRECT("'"&amp;Table1[[#This Row],[sheet]]&amp;"'!$A$8:$T$42"),Table1[[#This Row],[r]],FALSE))</f>
        <v>0</v>
      </c>
      <c r="AE935">
        <f>IF(VLOOKUP(Table1[[#This Row],[sheet]],Prg!$A$7:$J$31,10,FALSE)="","",VLOOKUP(Table1[[#This Row],[sheet]],Prg!$A$7:$J$31,10,FALSE)*1)</f>
        <v>1</v>
      </c>
      <c r="AF935" t="str">
        <f>VLOOKUP(Table1[[#This Row],[sheet]],Prg!$A$7:$J$31,5,FALSE)</f>
        <v>PALESTINE</v>
      </c>
      <c r="AG935">
        <f>ROW()</f>
        <v>935</v>
      </c>
    </row>
    <row r="936" spans="24:33" hidden="1" x14ac:dyDescent="0.25">
      <c r="X936">
        <v>6</v>
      </c>
      <c r="Y936" t="s">
        <v>785</v>
      </c>
      <c r="Z936" t="s">
        <v>786</v>
      </c>
      <c r="AA936" t="str">
        <f>IF(OR(VLOOKUP(Table1[[#This Row],[sheet]],Prg!$A$7:$F$31,6,FALSE)=Prg!$O$2,VLOOKUP(Table1[[#This Row],[sheet]],Prg!$A$7:$F$31,6,FALSE)=Prg!$O$3),"Yes","No")</f>
        <v>Yes</v>
      </c>
      <c r="AB936">
        <v>2022</v>
      </c>
      <c r="AC936">
        <v>15</v>
      </c>
      <c r="AD936">
        <f ca="1">IF(ISERROR(VLOOKUP(Table1[[#This Row],[item]],INDIRECT("'"&amp;Table1[[#This Row],[sheet]]&amp;"'!$A$8:$T$42"),Table1[[#This Row],[r]],FALSE)),"",VLOOKUP(Table1[[#This Row],[item]],INDIRECT("'"&amp;Table1[[#This Row],[sheet]]&amp;"'!$A$8:$T$42"),Table1[[#This Row],[r]],FALSE))</f>
        <v>180886.31</v>
      </c>
      <c r="AE936">
        <f>IF(VLOOKUP(Table1[[#This Row],[sheet]],Prg!$A$7:$J$31,10,FALSE)="","",VLOOKUP(Table1[[#This Row],[sheet]],Prg!$A$7:$J$31,10,FALSE)*1)</f>
        <v>1</v>
      </c>
      <c r="AF936" t="str">
        <f>VLOOKUP(Table1[[#This Row],[sheet]],Prg!$A$7:$J$31,5,FALSE)</f>
        <v>PALESTINE</v>
      </c>
      <c r="AG936">
        <f>ROW()</f>
        <v>936</v>
      </c>
    </row>
    <row r="937" spans="24:33" hidden="1" x14ac:dyDescent="0.25">
      <c r="X937">
        <v>6</v>
      </c>
      <c r="Y937" t="s">
        <v>787</v>
      </c>
      <c r="Z937" t="s">
        <v>633</v>
      </c>
      <c r="AA937" t="str">
        <f>IF(OR(VLOOKUP(Table1[[#This Row],[sheet]],Prg!$A$7:$F$31,6,FALSE)=Prg!$O$2,VLOOKUP(Table1[[#This Row],[sheet]],Prg!$A$7:$F$31,6,FALSE)=Prg!$O$3),"Yes","No")</f>
        <v>Yes</v>
      </c>
      <c r="AB937">
        <v>2022</v>
      </c>
      <c r="AC937">
        <v>15</v>
      </c>
      <c r="AD937">
        <f ca="1">IF(ISERROR(VLOOKUP(Table1[[#This Row],[item]],INDIRECT("'"&amp;Table1[[#This Row],[sheet]]&amp;"'!$A$8:$T$42"),Table1[[#This Row],[r]],FALSE)),"",VLOOKUP(Table1[[#This Row],[item]],INDIRECT("'"&amp;Table1[[#This Row],[sheet]]&amp;"'!$A$8:$T$42"),Table1[[#This Row],[r]],FALSE))</f>
        <v>0</v>
      </c>
      <c r="AE937">
        <f>IF(VLOOKUP(Table1[[#This Row],[sheet]],Prg!$A$7:$J$31,10,FALSE)="","",VLOOKUP(Table1[[#This Row],[sheet]],Prg!$A$7:$J$31,10,FALSE)*1)</f>
        <v>1</v>
      </c>
      <c r="AF937" t="str">
        <f>VLOOKUP(Table1[[#This Row],[sheet]],Prg!$A$7:$J$31,5,FALSE)</f>
        <v>PALESTINE</v>
      </c>
      <c r="AG937">
        <f>ROW()</f>
        <v>937</v>
      </c>
    </row>
    <row r="938" spans="24:33" hidden="1" x14ac:dyDescent="0.25">
      <c r="X938">
        <v>6</v>
      </c>
      <c r="Y938" t="s">
        <v>753</v>
      </c>
      <c r="Z938" t="s">
        <v>162</v>
      </c>
      <c r="AA938" t="str">
        <f>IF(OR(VLOOKUP(Table1[[#This Row],[sheet]],Prg!$A$7:$F$31,6,FALSE)=Prg!$O$2,VLOOKUP(Table1[[#This Row],[sheet]],Prg!$A$7:$F$31,6,FALSE)=Prg!$O$3),"Yes","No")</f>
        <v>Yes</v>
      </c>
      <c r="AB938">
        <v>2023</v>
      </c>
      <c r="AC938">
        <v>16</v>
      </c>
      <c r="AD938">
        <f ca="1">IF(ISERROR(VLOOKUP(Table1[[#This Row],[item]],INDIRECT("'"&amp;Table1[[#This Row],[sheet]]&amp;"'!$A$8:$T$42"),Table1[[#This Row],[r]],FALSE)),"",VLOOKUP(Table1[[#This Row],[item]],INDIRECT("'"&amp;Table1[[#This Row],[sheet]]&amp;"'!$A$8:$T$42"),Table1[[#This Row],[r]],FALSE))</f>
        <v>476241.61</v>
      </c>
      <c r="AE938">
        <f>IF(VLOOKUP(Table1[[#This Row],[sheet]],Prg!$A$7:$J$31,10,FALSE)="","",VLOOKUP(Table1[[#This Row],[sheet]],Prg!$A$7:$J$31,10,FALSE)*1)</f>
        <v>1</v>
      </c>
      <c r="AF938" t="str">
        <f>VLOOKUP(Table1[[#This Row],[sheet]],Prg!$A$7:$J$31,5,FALSE)</f>
        <v>PALESTINE</v>
      </c>
      <c r="AG938">
        <f>ROW()</f>
        <v>938</v>
      </c>
    </row>
    <row r="939" spans="24:33" hidden="1" x14ac:dyDescent="0.25">
      <c r="X939">
        <v>6</v>
      </c>
      <c r="Y939" t="s">
        <v>754</v>
      </c>
      <c r="Z939" t="s">
        <v>164</v>
      </c>
      <c r="AA939" t="str">
        <f>IF(OR(VLOOKUP(Table1[[#This Row],[sheet]],Prg!$A$7:$F$31,6,FALSE)=Prg!$O$2,VLOOKUP(Table1[[#This Row],[sheet]],Prg!$A$7:$F$31,6,FALSE)=Prg!$O$3),"Yes","No")</f>
        <v>Yes</v>
      </c>
      <c r="AB939">
        <v>2023</v>
      </c>
      <c r="AC939">
        <v>16</v>
      </c>
      <c r="AD939">
        <f ca="1">IF(ISERROR(VLOOKUP(Table1[[#This Row],[item]],INDIRECT("'"&amp;Table1[[#This Row],[sheet]]&amp;"'!$A$8:$T$42"),Table1[[#This Row],[r]],FALSE)),"",VLOOKUP(Table1[[#This Row],[item]],INDIRECT("'"&amp;Table1[[#This Row],[sheet]]&amp;"'!$A$8:$T$42"),Table1[[#This Row],[r]],FALSE))</f>
        <v>0</v>
      </c>
      <c r="AE939">
        <f>IF(VLOOKUP(Table1[[#This Row],[sheet]],Prg!$A$7:$J$31,10,FALSE)="","",VLOOKUP(Table1[[#This Row],[sheet]],Prg!$A$7:$J$31,10,FALSE)*1)</f>
        <v>1</v>
      </c>
      <c r="AF939" t="str">
        <f>VLOOKUP(Table1[[#This Row],[sheet]],Prg!$A$7:$J$31,5,FALSE)</f>
        <v>PALESTINE</v>
      </c>
      <c r="AG939">
        <f>ROW()</f>
        <v>939</v>
      </c>
    </row>
    <row r="940" spans="24:33" hidden="1" x14ac:dyDescent="0.25">
      <c r="X940">
        <v>6</v>
      </c>
      <c r="Y940" t="s">
        <v>755</v>
      </c>
      <c r="Z940" t="s">
        <v>166</v>
      </c>
      <c r="AA940" t="str">
        <f>IF(OR(VLOOKUP(Table1[[#This Row],[sheet]],Prg!$A$7:$F$31,6,FALSE)=Prg!$O$2,VLOOKUP(Table1[[#This Row],[sheet]],Prg!$A$7:$F$31,6,FALSE)=Prg!$O$3),"Yes","No")</f>
        <v>Yes</v>
      </c>
      <c r="AB940">
        <v>2023</v>
      </c>
      <c r="AC940">
        <v>16</v>
      </c>
      <c r="AD940">
        <f ca="1">IF(ISERROR(VLOOKUP(Table1[[#This Row],[item]],INDIRECT("'"&amp;Table1[[#This Row],[sheet]]&amp;"'!$A$8:$T$42"),Table1[[#This Row],[r]],FALSE)),"",VLOOKUP(Table1[[#This Row],[item]],INDIRECT("'"&amp;Table1[[#This Row],[sheet]]&amp;"'!$A$8:$T$42"),Table1[[#This Row],[r]],FALSE))</f>
        <v>366217.87</v>
      </c>
      <c r="AE940">
        <f>IF(VLOOKUP(Table1[[#This Row],[sheet]],Prg!$A$7:$J$31,10,FALSE)="","",VLOOKUP(Table1[[#This Row],[sheet]],Prg!$A$7:$J$31,10,FALSE)*1)</f>
        <v>1</v>
      </c>
      <c r="AF940" t="str">
        <f>VLOOKUP(Table1[[#This Row],[sheet]],Prg!$A$7:$J$31,5,FALSE)</f>
        <v>PALESTINE</v>
      </c>
      <c r="AG940">
        <f>ROW()</f>
        <v>940</v>
      </c>
    </row>
    <row r="941" spans="24:33" hidden="1" x14ac:dyDescent="0.25">
      <c r="X941">
        <v>6</v>
      </c>
      <c r="Y941" t="s">
        <v>756</v>
      </c>
      <c r="Z941" t="s">
        <v>757</v>
      </c>
      <c r="AA941" t="str">
        <f>IF(OR(VLOOKUP(Table1[[#This Row],[sheet]],Prg!$A$7:$F$31,6,FALSE)=Prg!$O$2,VLOOKUP(Table1[[#This Row],[sheet]],Prg!$A$7:$F$31,6,FALSE)=Prg!$O$3),"Yes","No")</f>
        <v>Yes</v>
      </c>
      <c r="AB941">
        <v>2023</v>
      </c>
      <c r="AC941">
        <v>16</v>
      </c>
      <c r="AD941">
        <f ca="1">IF(ISERROR(VLOOKUP(Table1[[#This Row],[item]],INDIRECT("'"&amp;Table1[[#This Row],[sheet]]&amp;"'!$A$8:$T$42"),Table1[[#This Row],[r]],FALSE)),"",VLOOKUP(Table1[[#This Row],[item]],INDIRECT("'"&amp;Table1[[#This Row],[sheet]]&amp;"'!$A$8:$T$42"),Table1[[#This Row],[r]],FALSE))</f>
        <v>110023.74</v>
      </c>
      <c r="AE941">
        <f>IF(VLOOKUP(Table1[[#This Row],[sheet]],Prg!$A$7:$J$31,10,FALSE)="","",VLOOKUP(Table1[[#This Row],[sheet]],Prg!$A$7:$J$31,10,FALSE)*1)</f>
        <v>1</v>
      </c>
      <c r="AF941" t="str">
        <f>VLOOKUP(Table1[[#This Row],[sheet]],Prg!$A$7:$J$31,5,FALSE)</f>
        <v>PALESTINE</v>
      </c>
      <c r="AG941">
        <f>ROW()</f>
        <v>941</v>
      </c>
    </row>
    <row r="942" spans="24:33" hidden="1" x14ac:dyDescent="0.25">
      <c r="X942">
        <v>6</v>
      </c>
      <c r="Y942" t="s">
        <v>758</v>
      </c>
      <c r="Z942" t="s">
        <v>170</v>
      </c>
      <c r="AA942" t="str">
        <f>IF(OR(VLOOKUP(Table1[[#This Row],[sheet]],Prg!$A$7:$F$31,6,FALSE)=Prg!$O$2,VLOOKUP(Table1[[#This Row],[sheet]],Prg!$A$7:$F$31,6,FALSE)=Prg!$O$3),"Yes","No")</f>
        <v>Yes</v>
      </c>
      <c r="AB942">
        <v>2023</v>
      </c>
      <c r="AC942">
        <v>16</v>
      </c>
      <c r="AD942">
        <f ca="1">IF(ISERROR(VLOOKUP(Table1[[#This Row],[item]],INDIRECT("'"&amp;Table1[[#This Row],[sheet]]&amp;"'!$A$8:$T$42"),Table1[[#This Row],[r]],FALSE)),"",VLOOKUP(Table1[[#This Row],[item]],INDIRECT("'"&amp;Table1[[#This Row],[sheet]]&amp;"'!$A$8:$T$42"),Table1[[#This Row],[r]],FALSE))</f>
        <v>161238.32999999999</v>
      </c>
      <c r="AE942">
        <f>IF(VLOOKUP(Table1[[#This Row],[sheet]],Prg!$A$7:$J$31,10,FALSE)="","",VLOOKUP(Table1[[#This Row],[sheet]],Prg!$A$7:$J$31,10,FALSE)*1)</f>
        <v>1</v>
      </c>
      <c r="AF942" t="str">
        <f>VLOOKUP(Table1[[#This Row],[sheet]],Prg!$A$7:$J$31,5,FALSE)</f>
        <v>PALESTINE</v>
      </c>
      <c r="AG942">
        <f>ROW()</f>
        <v>942</v>
      </c>
    </row>
    <row r="943" spans="24:33" hidden="1" x14ac:dyDescent="0.25">
      <c r="X943">
        <v>6</v>
      </c>
      <c r="Y943" t="s">
        <v>759</v>
      </c>
      <c r="Z943" t="s">
        <v>172</v>
      </c>
      <c r="AA943" t="str">
        <f>IF(OR(VLOOKUP(Table1[[#This Row],[sheet]],Prg!$A$7:$F$31,6,FALSE)=Prg!$O$2,VLOOKUP(Table1[[#This Row],[sheet]],Prg!$A$7:$F$31,6,FALSE)=Prg!$O$3),"Yes","No")</f>
        <v>Yes</v>
      </c>
      <c r="AB943">
        <v>2023</v>
      </c>
      <c r="AC943">
        <v>16</v>
      </c>
      <c r="AD943">
        <f ca="1">IF(ISERROR(VLOOKUP(Table1[[#This Row],[item]],INDIRECT("'"&amp;Table1[[#This Row],[sheet]]&amp;"'!$A$8:$T$42"),Table1[[#This Row],[r]],FALSE)),"",VLOOKUP(Table1[[#This Row],[item]],INDIRECT("'"&amp;Table1[[#This Row],[sheet]]&amp;"'!$A$8:$T$42"),Table1[[#This Row],[r]],FALSE))</f>
        <v>0</v>
      </c>
      <c r="AE943">
        <f>IF(VLOOKUP(Table1[[#This Row],[sheet]],Prg!$A$7:$J$31,10,FALSE)="","",VLOOKUP(Table1[[#This Row],[sheet]],Prg!$A$7:$J$31,10,FALSE)*1)</f>
        <v>1</v>
      </c>
      <c r="AF943" t="str">
        <f>VLOOKUP(Table1[[#This Row],[sheet]],Prg!$A$7:$J$31,5,FALSE)</f>
        <v>PALESTINE</v>
      </c>
      <c r="AG943">
        <f>ROW()</f>
        <v>943</v>
      </c>
    </row>
    <row r="944" spans="24:33" hidden="1" x14ac:dyDescent="0.25">
      <c r="X944">
        <v>6</v>
      </c>
      <c r="Y944" t="s">
        <v>760</v>
      </c>
      <c r="Z944" t="s">
        <v>174</v>
      </c>
      <c r="AA944" t="str">
        <f>IF(OR(VLOOKUP(Table1[[#This Row],[sheet]],Prg!$A$7:$F$31,6,FALSE)=Prg!$O$2,VLOOKUP(Table1[[#This Row],[sheet]],Prg!$A$7:$F$31,6,FALSE)=Prg!$O$3),"Yes","No")</f>
        <v>Yes</v>
      </c>
      <c r="AB944">
        <v>2023</v>
      </c>
      <c r="AC944">
        <v>16</v>
      </c>
      <c r="AD944">
        <f ca="1">IF(ISERROR(VLOOKUP(Table1[[#This Row],[item]],INDIRECT("'"&amp;Table1[[#This Row],[sheet]]&amp;"'!$A$8:$T$42"),Table1[[#This Row],[r]],FALSE)),"",VLOOKUP(Table1[[#This Row],[item]],INDIRECT("'"&amp;Table1[[#This Row],[sheet]]&amp;"'!$A$8:$T$42"),Table1[[#This Row],[r]],FALSE))</f>
        <v>161238.32999999999</v>
      </c>
      <c r="AE944">
        <f>IF(VLOOKUP(Table1[[#This Row],[sheet]],Prg!$A$7:$J$31,10,FALSE)="","",VLOOKUP(Table1[[#This Row],[sheet]],Prg!$A$7:$J$31,10,FALSE)*1)</f>
        <v>1</v>
      </c>
      <c r="AF944" t="str">
        <f>VLOOKUP(Table1[[#This Row],[sheet]],Prg!$A$7:$J$31,5,FALSE)</f>
        <v>PALESTINE</v>
      </c>
      <c r="AG944">
        <f>ROW()</f>
        <v>944</v>
      </c>
    </row>
    <row r="945" spans="24:33" hidden="1" x14ac:dyDescent="0.25">
      <c r="X945">
        <v>6</v>
      </c>
      <c r="Y945" t="s">
        <v>761</v>
      </c>
      <c r="Z945" t="s">
        <v>762</v>
      </c>
      <c r="AA945" t="str">
        <f>IF(OR(VLOOKUP(Table1[[#This Row],[sheet]],Prg!$A$7:$F$31,6,FALSE)=Prg!$O$2,VLOOKUP(Table1[[#This Row],[sheet]],Prg!$A$7:$F$31,6,FALSE)=Prg!$O$3),"Yes","No")</f>
        <v>Yes</v>
      </c>
      <c r="AB945">
        <v>2023</v>
      </c>
      <c r="AC945">
        <v>16</v>
      </c>
      <c r="AD945">
        <f ca="1">IF(ISERROR(VLOOKUP(Table1[[#This Row],[item]],INDIRECT("'"&amp;Table1[[#This Row],[sheet]]&amp;"'!$A$8:$T$42"),Table1[[#This Row],[r]],FALSE)),"",VLOOKUP(Table1[[#This Row],[item]],INDIRECT("'"&amp;Table1[[#This Row],[sheet]]&amp;"'!$A$8:$T$42"),Table1[[#This Row],[r]],FALSE))</f>
        <v>0</v>
      </c>
      <c r="AE945">
        <f>IF(VLOOKUP(Table1[[#This Row],[sheet]],Prg!$A$7:$J$31,10,FALSE)="","",VLOOKUP(Table1[[#This Row],[sheet]],Prg!$A$7:$J$31,10,FALSE)*1)</f>
        <v>1</v>
      </c>
      <c r="AF945" t="str">
        <f>VLOOKUP(Table1[[#This Row],[sheet]],Prg!$A$7:$J$31,5,FALSE)</f>
        <v>PALESTINE</v>
      </c>
      <c r="AG945">
        <f>ROW()</f>
        <v>945</v>
      </c>
    </row>
    <row r="946" spans="24:33" hidden="1" x14ac:dyDescent="0.25">
      <c r="X946">
        <v>6</v>
      </c>
      <c r="Y946" t="s">
        <v>763</v>
      </c>
      <c r="Z946" t="s">
        <v>178</v>
      </c>
      <c r="AA946" t="str">
        <f>IF(OR(VLOOKUP(Table1[[#This Row],[sheet]],Prg!$A$7:$F$31,6,FALSE)=Prg!$O$2,VLOOKUP(Table1[[#This Row],[sheet]],Prg!$A$7:$F$31,6,FALSE)=Prg!$O$3),"Yes","No")</f>
        <v>Yes</v>
      </c>
      <c r="AB946">
        <v>2023</v>
      </c>
      <c r="AC946">
        <v>16</v>
      </c>
      <c r="AD946">
        <f ca="1">IF(ISERROR(VLOOKUP(Table1[[#This Row],[item]],INDIRECT("'"&amp;Table1[[#This Row],[sheet]]&amp;"'!$A$8:$T$42"),Table1[[#This Row],[r]],FALSE)),"",VLOOKUP(Table1[[#This Row],[item]],INDIRECT("'"&amp;Table1[[#This Row],[sheet]]&amp;"'!$A$8:$T$42"),Table1[[#This Row],[r]],FALSE))</f>
        <v>219588.71</v>
      </c>
      <c r="AE946">
        <f>IF(VLOOKUP(Table1[[#This Row],[sheet]],Prg!$A$7:$J$31,10,FALSE)="","",VLOOKUP(Table1[[#This Row],[sheet]],Prg!$A$7:$J$31,10,FALSE)*1)</f>
        <v>1</v>
      </c>
      <c r="AF946" t="str">
        <f>VLOOKUP(Table1[[#This Row],[sheet]],Prg!$A$7:$J$31,5,FALSE)</f>
        <v>PALESTINE</v>
      </c>
      <c r="AG946">
        <f>ROW()</f>
        <v>946</v>
      </c>
    </row>
    <row r="947" spans="24:33" hidden="1" x14ac:dyDescent="0.25">
      <c r="X947">
        <v>6</v>
      </c>
      <c r="Y947" t="s">
        <v>764</v>
      </c>
      <c r="Z947" t="s">
        <v>109</v>
      </c>
      <c r="AA947" t="str">
        <f>IF(OR(VLOOKUP(Table1[[#This Row],[sheet]],Prg!$A$7:$F$31,6,FALSE)=Prg!$O$2,VLOOKUP(Table1[[#This Row],[sheet]],Prg!$A$7:$F$31,6,FALSE)=Prg!$O$3),"Yes","No")</f>
        <v>Yes</v>
      </c>
      <c r="AB947">
        <v>2023</v>
      </c>
      <c r="AC947">
        <v>16</v>
      </c>
      <c r="AD947">
        <f ca="1">IF(ISERROR(VLOOKUP(Table1[[#This Row],[item]],INDIRECT("'"&amp;Table1[[#This Row],[sheet]]&amp;"'!$A$8:$T$42"),Table1[[#This Row],[r]],FALSE)),"",VLOOKUP(Table1[[#This Row],[item]],INDIRECT("'"&amp;Table1[[#This Row],[sheet]]&amp;"'!$A$8:$T$42"),Table1[[#This Row],[r]],FALSE))</f>
        <v>0</v>
      </c>
      <c r="AE947">
        <f>IF(VLOOKUP(Table1[[#This Row],[sheet]],Prg!$A$7:$J$31,10,FALSE)="","",VLOOKUP(Table1[[#This Row],[sheet]],Prg!$A$7:$J$31,10,FALSE)*1)</f>
        <v>1</v>
      </c>
      <c r="AF947" t="str">
        <f>VLOOKUP(Table1[[#This Row],[sheet]],Prg!$A$7:$J$31,5,FALSE)</f>
        <v>PALESTINE</v>
      </c>
      <c r="AG947">
        <f>ROW()</f>
        <v>947</v>
      </c>
    </row>
    <row r="948" spans="24:33" hidden="1" x14ac:dyDescent="0.25">
      <c r="X948">
        <v>6</v>
      </c>
      <c r="Y948" t="s">
        <v>765</v>
      </c>
      <c r="Z948" t="s">
        <v>117</v>
      </c>
      <c r="AA948" t="str">
        <f>IF(OR(VLOOKUP(Table1[[#This Row],[sheet]],Prg!$A$7:$F$31,6,FALSE)=Prg!$O$2,VLOOKUP(Table1[[#This Row],[sheet]],Prg!$A$7:$F$31,6,FALSE)=Prg!$O$3),"Yes","No")</f>
        <v>Yes</v>
      </c>
      <c r="AB948">
        <v>2023</v>
      </c>
      <c r="AC948">
        <v>16</v>
      </c>
      <c r="AD948">
        <f ca="1">IF(ISERROR(VLOOKUP(Table1[[#This Row],[item]],INDIRECT("'"&amp;Table1[[#This Row],[sheet]]&amp;"'!$A$8:$T$42"),Table1[[#This Row],[r]],FALSE)),"",VLOOKUP(Table1[[#This Row],[item]],INDIRECT("'"&amp;Table1[[#This Row],[sheet]]&amp;"'!$A$8:$T$42"),Table1[[#This Row],[r]],FALSE))</f>
        <v>59375.380000000005</v>
      </c>
      <c r="AE948">
        <f>IF(VLOOKUP(Table1[[#This Row],[sheet]],Prg!$A$7:$J$31,10,FALSE)="","",VLOOKUP(Table1[[#This Row],[sheet]],Prg!$A$7:$J$31,10,FALSE)*1)</f>
        <v>1</v>
      </c>
      <c r="AF948" t="str">
        <f>VLOOKUP(Table1[[#This Row],[sheet]],Prg!$A$7:$J$31,5,FALSE)</f>
        <v>PALESTINE</v>
      </c>
      <c r="AG948">
        <f>ROW()</f>
        <v>948</v>
      </c>
    </row>
    <row r="949" spans="24:33" hidden="1" x14ac:dyDescent="0.25">
      <c r="X949">
        <v>6</v>
      </c>
      <c r="Y949" t="s">
        <v>766</v>
      </c>
      <c r="Z949" t="s">
        <v>767</v>
      </c>
      <c r="AA949" t="str">
        <f>IF(OR(VLOOKUP(Table1[[#This Row],[sheet]],Prg!$A$7:$F$31,6,FALSE)=Prg!$O$2,VLOOKUP(Table1[[#This Row],[sheet]],Prg!$A$7:$F$31,6,FALSE)=Prg!$O$3),"Yes","No")</f>
        <v>Yes</v>
      </c>
      <c r="AB949">
        <v>2023</v>
      </c>
      <c r="AC949">
        <v>16</v>
      </c>
      <c r="AD949">
        <f ca="1">IF(ISERROR(VLOOKUP(Table1[[#This Row],[item]],INDIRECT("'"&amp;Table1[[#This Row],[sheet]]&amp;"'!$A$8:$T$42"),Table1[[#This Row],[r]],FALSE)),"",VLOOKUP(Table1[[#This Row],[item]],INDIRECT("'"&amp;Table1[[#This Row],[sheet]]&amp;"'!$A$8:$T$42"),Table1[[#This Row],[r]],FALSE))</f>
        <v>160213.32999999999</v>
      </c>
      <c r="AE949">
        <f>IF(VLOOKUP(Table1[[#This Row],[sheet]],Prg!$A$7:$J$31,10,FALSE)="","",VLOOKUP(Table1[[#This Row],[sheet]],Prg!$A$7:$J$31,10,FALSE)*1)</f>
        <v>1</v>
      </c>
      <c r="AF949" t="str">
        <f>VLOOKUP(Table1[[#This Row],[sheet]],Prg!$A$7:$J$31,5,FALSE)</f>
        <v>PALESTINE</v>
      </c>
      <c r="AG949">
        <f>ROW()</f>
        <v>949</v>
      </c>
    </row>
    <row r="950" spans="24:33" hidden="1" x14ac:dyDescent="0.25">
      <c r="X950">
        <v>6</v>
      </c>
      <c r="Y950" t="s">
        <v>768</v>
      </c>
      <c r="Z950" t="s">
        <v>182</v>
      </c>
      <c r="AA950" t="str">
        <f>IF(OR(VLOOKUP(Table1[[#This Row],[sheet]],Prg!$A$7:$F$31,6,FALSE)=Prg!$O$2,VLOOKUP(Table1[[#This Row],[sheet]],Prg!$A$7:$F$31,6,FALSE)=Prg!$O$3),"Yes","No")</f>
        <v>Yes</v>
      </c>
      <c r="AB950">
        <v>2023</v>
      </c>
      <c r="AC950">
        <v>16</v>
      </c>
      <c r="AD950">
        <f ca="1">IF(ISERROR(VLOOKUP(Table1[[#This Row],[item]],INDIRECT("'"&amp;Table1[[#This Row],[sheet]]&amp;"'!$A$8:$T$42"),Table1[[#This Row],[r]],FALSE)),"",VLOOKUP(Table1[[#This Row],[item]],INDIRECT("'"&amp;Table1[[#This Row],[sheet]]&amp;"'!$A$8:$T$42"),Table1[[#This Row],[r]],FALSE))</f>
        <v>3000</v>
      </c>
      <c r="AE950">
        <f>IF(VLOOKUP(Table1[[#This Row],[sheet]],Prg!$A$7:$J$31,10,FALSE)="","",VLOOKUP(Table1[[#This Row],[sheet]],Prg!$A$7:$J$31,10,FALSE)*1)</f>
        <v>1</v>
      </c>
      <c r="AF950" t="str">
        <f>VLOOKUP(Table1[[#This Row],[sheet]],Prg!$A$7:$J$31,5,FALSE)</f>
        <v>PALESTINE</v>
      </c>
      <c r="AG950">
        <f>ROW()</f>
        <v>950</v>
      </c>
    </row>
    <row r="951" spans="24:33" hidden="1" x14ac:dyDescent="0.25">
      <c r="X951">
        <v>6</v>
      </c>
      <c r="Y951" t="s">
        <v>769</v>
      </c>
      <c r="Z951" t="s">
        <v>184</v>
      </c>
      <c r="AA951" t="str">
        <f>IF(OR(VLOOKUP(Table1[[#This Row],[sheet]],Prg!$A$7:$F$31,6,FALSE)=Prg!$O$2,VLOOKUP(Table1[[#This Row],[sheet]],Prg!$A$7:$F$31,6,FALSE)=Prg!$O$3),"Yes","No")</f>
        <v>Yes</v>
      </c>
      <c r="AB951">
        <v>2023</v>
      </c>
      <c r="AC951">
        <v>16</v>
      </c>
      <c r="AD951">
        <f ca="1">IF(ISERROR(VLOOKUP(Table1[[#This Row],[item]],INDIRECT("'"&amp;Table1[[#This Row],[sheet]]&amp;"'!$A$8:$T$42"),Table1[[#This Row],[r]],FALSE)),"",VLOOKUP(Table1[[#This Row],[item]],INDIRECT("'"&amp;Table1[[#This Row],[sheet]]&amp;"'!$A$8:$T$42"),Table1[[#This Row],[r]],FALSE))</f>
        <v>0</v>
      </c>
      <c r="AE951">
        <f>IF(VLOOKUP(Table1[[#This Row],[sheet]],Prg!$A$7:$J$31,10,FALSE)="","",VLOOKUP(Table1[[#This Row],[sheet]],Prg!$A$7:$J$31,10,FALSE)*1)</f>
        <v>1</v>
      </c>
      <c r="AF951" t="str">
        <f>VLOOKUP(Table1[[#This Row],[sheet]],Prg!$A$7:$J$31,5,FALSE)</f>
        <v>PALESTINE</v>
      </c>
      <c r="AG951">
        <f>ROW()</f>
        <v>951</v>
      </c>
    </row>
    <row r="952" spans="24:33" hidden="1" x14ac:dyDescent="0.25">
      <c r="X952">
        <v>6</v>
      </c>
      <c r="Y952" t="s">
        <v>770</v>
      </c>
      <c r="Z952" t="s">
        <v>186</v>
      </c>
      <c r="AA952" t="str">
        <f>IF(OR(VLOOKUP(Table1[[#This Row],[sheet]],Prg!$A$7:$F$31,6,FALSE)=Prg!$O$2,VLOOKUP(Table1[[#This Row],[sheet]],Prg!$A$7:$F$31,6,FALSE)=Prg!$O$3),"Yes","No")</f>
        <v>Yes</v>
      </c>
      <c r="AB952">
        <v>2023</v>
      </c>
      <c r="AC952">
        <v>16</v>
      </c>
      <c r="AD952">
        <f ca="1">IF(ISERROR(VLOOKUP(Table1[[#This Row],[item]],INDIRECT("'"&amp;Table1[[#This Row],[sheet]]&amp;"'!$A$8:$T$42"),Table1[[#This Row],[r]],FALSE)),"",VLOOKUP(Table1[[#This Row],[item]],INDIRECT("'"&amp;Table1[[#This Row],[sheet]]&amp;"'!$A$8:$T$42"),Table1[[#This Row],[r]],FALSE))</f>
        <v>3000</v>
      </c>
      <c r="AE952">
        <f>IF(VLOOKUP(Table1[[#This Row],[sheet]],Prg!$A$7:$J$31,10,FALSE)="","",VLOOKUP(Table1[[#This Row],[sheet]],Prg!$A$7:$J$31,10,FALSE)*1)</f>
        <v>1</v>
      </c>
      <c r="AF952" t="str">
        <f>VLOOKUP(Table1[[#This Row],[sheet]],Prg!$A$7:$J$31,5,FALSE)</f>
        <v>PALESTINE</v>
      </c>
      <c r="AG952">
        <f>ROW()</f>
        <v>952</v>
      </c>
    </row>
    <row r="953" spans="24:33" hidden="1" x14ac:dyDescent="0.25">
      <c r="X953">
        <v>6</v>
      </c>
      <c r="Y953" t="s">
        <v>771</v>
      </c>
      <c r="Z953" t="s">
        <v>772</v>
      </c>
      <c r="AA953" t="str">
        <f>IF(OR(VLOOKUP(Table1[[#This Row],[sheet]],Prg!$A$7:$F$31,6,FALSE)=Prg!$O$2,VLOOKUP(Table1[[#This Row],[sheet]],Prg!$A$7:$F$31,6,FALSE)=Prg!$O$3),"Yes","No")</f>
        <v>Yes</v>
      </c>
      <c r="AB953">
        <v>2023</v>
      </c>
      <c r="AC953">
        <v>16</v>
      </c>
      <c r="AD953">
        <f ca="1">IF(ISERROR(VLOOKUP(Table1[[#This Row],[item]],INDIRECT("'"&amp;Table1[[#This Row],[sheet]]&amp;"'!$A$8:$T$42"),Table1[[#This Row],[r]],FALSE)),"",VLOOKUP(Table1[[#This Row],[item]],INDIRECT("'"&amp;Table1[[#This Row],[sheet]]&amp;"'!$A$8:$T$42"),Table1[[#This Row],[r]],FALSE))</f>
        <v>0</v>
      </c>
      <c r="AE953">
        <f>IF(VLOOKUP(Table1[[#This Row],[sheet]],Prg!$A$7:$J$31,10,FALSE)="","",VLOOKUP(Table1[[#This Row],[sheet]],Prg!$A$7:$J$31,10,FALSE)*1)</f>
        <v>1</v>
      </c>
      <c r="AF953" t="str">
        <f>VLOOKUP(Table1[[#This Row],[sheet]],Prg!$A$7:$J$31,5,FALSE)</f>
        <v>PALESTINE</v>
      </c>
      <c r="AG953">
        <f>ROW()</f>
        <v>953</v>
      </c>
    </row>
    <row r="954" spans="24:33" hidden="1" x14ac:dyDescent="0.25">
      <c r="X954">
        <v>6</v>
      </c>
      <c r="Y954" t="s">
        <v>773</v>
      </c>
      <c r="Z954" t="s">
        <v>190</v>
      </c>
      <c r="AA954" t="str">
        <f>IF(OR(VLOOKUP(Table1[[#This Row],[sheet]],Prg!$A$7:$F$31,6,FALSE)=Prg!$O$2,VLOOKUP(Table1[[#This Row],[sheet]],Prg!$A$7:$F$31,6,FALSE)=Prg!$O$3),"Yes","No")</f>
        <v>Yes</v>
      </c>
      <c r="AB954">
        <v>2023</v>
      </c>
      <c r="AC954">
        <v>16</v>
      </c>
      <c r="AD954">
        <f ca="1">IF(ISERROR(VLOOKUP(Table1[[#This Row],[item]],INDIRECT("'"&amp;Table1[[#This Row],[sheet]]&amp;"'!$A$8:$T$42"),Table1[[#This Row],[r]],FALSE)),"",VLOOKUP(Table1[[#This Row],[item]],INDIRECT("'"&amp;Table1[[#This Row],[sheet]]&amp;"'!$A$8:$T$42"),Table1[[#This Row],[r]],FALSE))</f>
        <v>860068.7</v>
      </c>
      <c r="AE954">
        <f>IF(VLOOKUP(Table1[[#This Row],[sheet]],Prg!$A$7:$J$31,10,FALSE)="","",VLOOKUP(Table1[[#This Row],[sheet]],Prg!$A$7:$J$31,10,FALSE)*1)</f>
        <v>1</v>
      </c>
      <c r="AF954" t="str">
        <f>VLOOKUP(Table1[[#This Row],[sheet]],Prg!$A$7:$J$31,5,FALSE)</f>
        <v>PALESTINE</v>
      </c>
      <c r="AG954">
        <f>ROW()</f>
        <v>954</v>
      </c>
    </row>
    <row r="955" spans="24:33" hidden="1" x14ac:dyDescent="0.25">
      <c r="X955">
        <v>6</v>
      </c>
      <c r="Y955" t="s">
        <v>709</v>
      </c>
      <c r="Z955" t="s">
        <v>192</v>
      </c>
      <c r="AA955" t="str">
        <f>IF(OR(VLOOKUP(Table1[[#This Row],[sheet]],Prg!$A$7:$F$31,6,FALSE)=Prg!$O$2,VLOOKUP(Table1[[#This Row],[sheet]],Prg!$A$7:$F$31,6,FALSE)=Prg!$O$3),"Yes","No")</f>
        <v>Yes</v>
      </c>
      <c r="AB955">
        <v>2023</v>
      </c>
      <c r="AC955">
        <v>16</v>
      </c>
      <c r="AD955">
        <f ca="1">IF(ISERROR(VLOOKUP(Table1[[#This Row],[item]],INDIRECT("'"&amp;Table1[[#This Row],[sheet]]&amp;"'!$A$8:$T$42"),Table1[[#This Row],[r]],FALSE)),"",VLOOKUP(Table1[[#This Row],[item]],INDIRECT("'"&amp;Table1[[#This Row],[sheet]]&amp;"'!$A$8:$T$42"),Table1[[#This Row],[r]],FALSE))</f>
        <v>0</v>
      </c>
      <c r="AE955">
        <f>IF(VLOOKUP(Table1[[#This Row],[sheet]],Prg!$A$7:$J$31,10,FALSE)="","",VLOOKUP(Table1[[#This Row],[sheet]],Prg!$A$7:$J$31,10,FALSE)*1)</f>
        <v>1</v>
      </c>
      <c r="AF955" t="str">
        <f>VLOOKUP(Table1[[#This Row],[sheet]],Prg!$A$7:$J$31,5,FALSE)</f>
        <v>PALESTINE</v>
      </c>
      <c r="AG955">
        <f>ROW()</f>
        <v>955</v>
      </c>
    </row>
    <row r="956" spans="24:33" hidden="1" x14ac:dyDescent="0.25">
      <c r="X956">
        <v>6</v>
      </c>
      <c r="Y956" t="s">
        <v>774</v>
      </c>
      <c r="Z956" t="s">
        <v>194</v>
      </c>
      <c r="AA956" t="str">
        <f>IF(OR(VLOOKUP(Table1[[#This Row],[sheet]],Prg!$A$7:$F$31,6,FALSE)=Prg!$O$2,VLOOKUP(Table1[[#This Row],[sheet]],Prg!$A$7:$F$31,6,FALSE)=Prg!$O$3),"Yes","No")</f>
        <v>Yes</v>
      </c>
      <c r="AB956">
        <v>2023</v>
      </c>
      <c r="AC956">
        <v>16</v>
      </c>
      <c r="AD956">
        <f ca="1">IF(ISERROR(VLOOKUP(Table1[[#This Row],[item]],INDIRECT("'"&amp;Table1[[#This Row],[sheet]]&amp;"'!$A$8:$T$42"),Table1[[#This Row],[r]],FALSE)),"",VLOOKUP(Table1[[#This Row],[item]],INDIRECT("'"&amp;Table1[[#This Row],[sheet]]&amp;"'!$A$8:$T$42"),Table1[[#This Row],[r]],FALSE))</f>
        <v>0</v>
      </c>
      <c r="AE956">
        <f>IF(VLOOKUP(Table1[[#This Row],[sheet]],Prg!$A$7:$J$31,10,FALSE)="","",VLOOKUP(Table1[[#This Row],[sheet]],Prg!$A$7:$J$31,10,FALSE)*1)</f>
        <v>1</v>
      </c>
      <c r="AF956" t="str">
        <f>VLOOKUP(Table1[[#This Row],[sheet]],Prg!$A$7:$J$31,5,FALSE)</f>
        <v>PALESTINE</v>
      </c>
      <c r="AG956">
        <f>ROW()</f>
        <v>956</v>
      </c>
    </row>
    <row r="957" spans="24:33" hidden="1" x14ac:dyDescent="0.25">
      <c r="X957">
        <v>6</v>
      </c>
      <c r="Y957" t="s">
        <v>775</v>
      </c>
      <c r="Z957" t="s">
        <v>196</v>
      </c>
      <c r="AA957" t="str">
        <f>IF(OR(VLOOKUP(Table1[[#This Row],[sheet]],Prg!$A$7:$F$31,6,FALSE)=Prg!$O$2,VLOOKUP(Table1[[#This Row],[sheet]],Prg!$A$7:$F$31,6,FALSE)=Prg!$O$3),"Yes","No")</f>
        <v>Yes</v>
      </c>
      <c r="AB957">
        <v>2023</v>
      </c>
      <c r="AC957">
        <v>16</v>
      </c>
      <c r="AD957">
        <f ca="1">IF(ISERROR(VLOOKUP(Table1[[#This Row],[item]],INDIRECT("'"&amp;Table1[[#This Row],[sheet]]&amp;"'!$A$8:$T$42"),Table1[[#This Row],[r]],FALSE)),"",VLOOKUP(Table1[[#This Row],[item]],INDIRECT("'"&amp;Table1[[#This Row],[sheet]]&amp;"'!$A$8:$T$42"),Table1[[#This Row],[r]],FALSE))</f>
        <v>0</v>
      </c>
      <c r="AE957">
        <f>IF(VLOOKUP(Table1[[#This Row],[sheet]],Prg!$A$7:$J$31,10,FALSE)="","",VLOOKUP(Table1[[#This Row],[sheet]],Prg!$A$7:$J$31,10,FALSE)*1)</f>
        <v>1</v>
      </c>
      <c r="AF957" t="str">
        <f>VLOOKUP(Table1[[#This Row],[sheet]],Prg!$A$7:$J$31,5,FALSE)</f>
        <v>PALESTINE</v>
      </c>
      <c r="AG957">
        <f>ROW()</f>
        <v>957</v>
      </c>
    </row>
    <row r="958" spans="24:33" hidden="1" x14ac:dyDescent="0.25">
      <c r="X958">
        <v>6</v>
      </c>
      <c r="Y958" t="s">
        <v>776</v>
      </c>
      <c r="Z958" t="s">
        <v>605</v>
      </c>
      <c r="AA958" t="str">
        <f>IF(OR(VLOOKUP(Table1[[#This Row],[sheet]],Prg!$A$7:$F$31,6,FALSE)=Prg!$O$2,VLOOKUP(Table1[[#This Row],[sheet]],Prg!$A$7:$F$31,6,FALSE)=Prg!$O$3),"Yes","No")</f>
        <v>Yes</v>
      </c>
      <c r="AB958">
        <v>2023</v>
      </c>
      <c r="AC958">
        <v>16</v>
      </c>
      <c r="AD958">
        <f ca="1">IF(ISERROR(VLOOKUP(Table1[[#This Row],[item]],INDIRECT("'"&amp;Table1[[#This Row],[sheet]]&amp;"'!$A$8:$T$42"),Table1[[#This Row],[r]],FALSE)),"",VLOOKUP(Table1[[#This Row],[item]],INDIRECT("'"&amp;Table1[[#This Row],[sheet]]&amp;"'!$A$8:$T$42"),Table1[[#This Row],[r]],FALSE))</f>
        <v>0</v>
      </c>
      <c r="AE958">
        <f>IF(VLOOKUP(Table1[[#This Row],[sheet]],Prg!$A$7:$J$31,10,FALSE)="","",VLOOKUP(Table1[[#This Row],[sheet]],Prg!$A$7:$J$31,10,FALSE)*1)</f>
        <v>1</v>
      </c>
      <c r="AF958" t="str">
        <f>VLOOKUP(Table1[[#This Row],[sheet]],Prg!$A$7:$J$31,5,FALSE)</f>
        <v>PALESTINE</v>
      </c>
      <c r="AG958">
        <f>ROW()</f>
        <v>958</v>
      </c>
    </row>
    <row r="959" spans="24:33" hidden="1" x14ac:dyDescent="0.25">
      <c r="X959">
        <v>6</v>
      </c>
      <c r="Y959" t="s">
        <v>711</v>
      </c>
      <c r="Z959" t="s">
        <v>200</v>
      </c>
      <c r="AA959" t="str">
        <f>IF(OR(VLOOKUP(Table1[[#This Row],[sheet]],Prg!$A$7:$F$31,6,FALSE)=Prg!$O$2,VLOOKUP(Table1[[#This Row],[sheet]],Prg!$A$7:$F$31,6,FALSE)=Prg!$O$3),"Yes","No")</f>
        <v>Yes</v>
      </c>
      <c r="AB959">
        <v>2023</v>
      </c>
      <c r="AC959">
        <v>16</v>
      </c>
      <c r="AD959">
        <f ca="1">IF(ISERROR(VLOOKUP(Table1[[#This Row],[item]],INDIRECT("'"&amp;Table1[[#This Row],[sheet]]&amp;"'!$A$8:$T$42"),Table1[[#This Row],[r]],FALSE)),"",VLOOKUP(Table1[[#This Row],[item]],INDIRECT("'"&amp;Table1[[#This Row],[sheet]]&amp;"'!$A$8:$T$42"),Table1[[#This Row],[r]],FALSE))</f>
        <v>589831.63</v>
      </c>
      <c r="AE959">
        <f>IF(VLOOKUP(Table1[[#This Row],[sheet]],Prg!$A$7:$J$31,10,FALSE)="","",VLOOKUP(Table1[[#This Row],[sheet]],Prg!$A$7:$J$31,10,FALSE)*1)</f>
        <v>1</v>
      </c>
      <c r="AF959" t="str">
        <f>VLOOKUP(Table1[[#This Row],[sheet]],Prg!$A$7:$J$31,5,FALSE)</f>
        <v>PALESTINE</v>
      </c>
      <c r="AG959">
        <f>ROW()</f>
        <v>959</v>
      </c>
    </row>
    <row r="960" spans="24:33" hidden="1" x14ac:dyDescent="0.25">
      <c r="X960">
        <v>6</v>
      </c>
      <c r="Y960" t="s">
        <v>777</v>
      </c>
      <c r="Z960" t="s">
        <v>202</v>
      </c>
      <c r="AA960" t="str">
        <f>IF(OR(VLOOKUP(Table1[[#This Row],[sheet]],Prg!$A$7:$F$31,6,FALSE)=Prg!$O$2,VLOOKUP(Table1[[#This Row],[sheet]],Prg!$A$7:$F$31,6,FALSE)=Prg!$O$3),"Yes","No")</f>
        <v>Yes</v>
      </c>
      <c r="AB960">
        <v>2023</v>
      </c>
      <c r="AC960">
        <v>16</v>
      </c>
      <c r="AD960">
        <f ca="1">IF(ISERROR(VLOOKUP(Table1[[#This Row],[item]],INDIRECT("'"&amp;Table1[[#This Row],[sheet]]&amp;"'!$A$8:$T$42"),Table1[[#This Row],[r]],FALSE)),"",VLOOKUP(Table1[[#This Row],[item]],INDIRECT("'"&amp;Table1[[#This Row],[sheet]]&amp;"'!$A$8:$T$42"),Table1[[#This Row],[r]],FALSE))</f>
        <v>14960</v>
      </c>
      <c r="AE960">
        <f>IF(VLOOKUP(Table1[[#This Row],[sheet]],Prg!$A$7:$J$31,10,FALSE)="","",VLOOKUP(Table1[[#This Row],[sheet]],Prg!$A$7:$J$31,10,FALSE)*1)</f>
        <v>1</v>
      </c>
      <c r="AF960" t="str">
        <f>VLOOKUP(Table1[[#This Row],[sheet]],Prg!$A$7:$J$31,5,FALSE)</f>
        <v>PALESTINE</v>
      </c>
      <c r="AG960">
        <f>ROW()</f>
        <v>960</v>
      </c>
    </row>
    <row r="961" spans="24:33" hidden="1" x14ac:dyDescent="0.25">
      <c r="X961">
        <v>6</v>
      </c>
      <c r="Y961" t="s">
        <v>778</v>
      </c>
      <c r="Z961" t="s">
        <v>204</v>
      </c>
      <c r="AA961" t="str">
        <f>IF(OR(VLOOKUP(Table1[[#This Row],[sheet]],Prg!$A$7:$F$31,6,FALSE)=Prg!$O$2,VLOOKUP(Table1[[#This Row],[sheet]],Prg!$A$7:$F$31,6,FALSE)=Prg!$O$3),"Yes","No")</f>
        <v>Yes</v>
      </c>
      <c r="AB961">
        <v>2023</v>
      </c>
      <c r="AC961">
        <v>16</v>
      </c>
      <c r="AD961">
        <f ca="1">IF(ISERROR(VLOOKUP(Table1[[#This Row],[item]],INDIRECT("'"&amp;Table1[[#This Row],[sheet]]&amp;"'!$A$8:$T$42"),Table1[[#This Row],[r]],FALSE)),"",VLOOKUP(Table1[[#This Row],[item]],INDIRECT("'"&amp;Table1[[#This Row],[sheet]]&amp;"'!$A$8:$T$42"),Table1[[#This Row],[r]],FALSE))</f>
        <v>27349.87</v>
      </c>
      <c r="AE961">
        <f>IF(VLOOKUP(Table1[[#This Row],[sheet]],Prg!$A$7:$J$31,10,FALSE)="","",VLOOKUP(Table1[[#This Row],[sheet]],Prg!$A$7:$J$31,10,FALSE)*1)</f>
        <v>1</v>
      </c>
      <c r="AF961" t="str">
        <f>VLOOKUP(Table1[[#This Row],[sheet]],Prg!$A$7:$J$31,5,FALSE)</f>
        <v>PALESTINE</v>
      </c>
      <c r="AG961">
        <f>ROW()</f>
        <v>961</v>
      </c>
    </row>
    <row r="962" spans="24:33" hidden="1" x14ac:dyDescent="0.25">
      <c r="X962">
        <v>6</v>
      </c>
      <c r="Y962" t="s">
        <v>779</v>
      </c>
      <c r="Z962" t="s">
        <v>605</v>
      </c>
      <c r="AA962" t="str">
        <f>IF(OR(VLOOKUP(Table1[[#This Row],[sheet]],Prg!$A$7:$F$31,6,FALSE)=Prg!$O$2,VLOOKUP(Table1[[#This Row],[sheet]],Prg!$A$7:$F$31,6,FALSE)=Prg!$O$3),"Yes","No")</f>
        <v>Yes</v>
      </c>
      <c r="AB962">
        <v>2023</v>
      </c>
      <c r="AC962">
        <v>16</v>
      </c>
      <c r="AD962">
        <f ca="1">IF(ISERROR(VLOOKUP(Table1[[#This Row],[item]],INDIRECT("'"&amp;Table1[[#This Row],[sheet]]&amp;"'!$A$8:$T$42"),Table1[[#This Row],[r]],FALSE)),"",VLOOKUP(Table1[[#This Row],[item]],INDIRECT("'"&amp;Table1[[#This Row],[sheet]]&amp;"'!$A$8:$T$42"),Table1[[#This Row],[r]],FALSE))</f>
        <v>547521.76</v>
      </c>
      <c r="AE962">
        <f>IF(VLOOKUP(Table1[[#This Row],[sheet]],Prg!$A$7:$J$31,10,FALSE)="","",VLOOKUP(Table1[[#This Row],[sheet]],Prg!$A$7:$J$31,10,FALSE)*1)</f>
        <v>1</v>
      </c>
      <c r="AF962" t="str">
        <f>VLOOKUP(Table1[[#This Row],[sheet]],Prg!$A$7:$J$31,5,FALSE)</f>
        <v>PALESTINE</v>
      </c>
      <c r="AG962">
        <f>ROW()</f>
        <v>962</v>
      </c>
    </row>
    <row r="963" spans="24:33" hidden="1" x14ac:dyDescent="0.25">
      <c r="X963">
        <v>6</v>
      </c>
      <c r="Y963" t="s">
        <v>712</v>
      </c>
      <c r="Z963" t="s">
        <v>780</v>
      </c>
      <c r="AA963" t="str">
        <f>IF(OR(VLOOKUP(Table1[[#This Row],[sheet]],Prg!$A$7:$F$31,6,FALSE)=Prg!$O$2,VLOOKUP(Table1[[#This Row],[sheet]],Prg!$A$7:$F$31,6,FALSE)=Prg!$O$3),"Yes","No")</f>
        <v>Yes</v>
      </c>
      <c r="AB963">
        <v>2023</v>
      </c>
      <c r="AC963">
        <v>16</v>
      </c>
      <c r="AD963">
        <f ca="1">IF(ISERROR(VLOOKUP(Table1[[#This Row],[item]],INDIRECT("'"&amp;Table1[[#This Row],[sheet]]&amp;"'!$A$8:$T$42"),Table1[[#This Row],[r]],FALSE)),"",VLOOKUP(Table1[[#This Row],[item]],INDIRECT("'"&amp;Table1[[#This Row],[sheet]]&amp;"'!$A$8:$T$42"),Table1[[#This Row],[r]],FALSE))</f>
        <v>270237.07</v>
      </c>
      <c r="AE963">
        <f>IF(VLOOKUP(Table1[[#This Row],[sheet]],Prg!$A$7:$J$31,10,FALSE)="","",VLOOKUP(Table1[[#This Row],[sheet]],Prg!$A$7:$J$31,10,FALSE)*1)</f>
        <v>1</v>
      </c>
      <c r="AF963" t="str">
        <f>VLOOKUP(Table1[[#This Row],[sheet]],Prg!$A$7:$J$31,5,FALSE)</f>
        <v>PALESTINE</v>
      </c>
      <c r="AG963">
        <f>ROW()</f>
        <v>963</v>
      </c>
    </row>
    <row r="964" spans="24:33" hidden="1" x14ac:dyDescent="0.25">
      <c r="X964">
        <v>6</v>
      </c>
      <c r="Y964" t="s">
        <v>781</v>
      </c>
      <c r="Z964" t="s">
        <v>782</v>
      </c>
      <c r="AA964" t="str">
        <f>IF(OR(VLOOKUP(Table1[[#This Row],[sheet]],Prg!$A$7:$F$31,6,FALSE)=Prg!$O$2,VLOOKUP(Table1[[#This Row],[sheet]],Prg!$A$7:$F$31,6,FALSE)=Prg!$O$3),"Yes","No")</f>
        <v>Yes</v>
      </c>
      <c r="AB964">
        <v>2023</v>
      </c>
      <c r="AC964">
        <v>16</v>
      </c>
      <c r="AD964">
        <f ca="1">IF(ISERROR(VLOOKUP(Table1[[#This Row],[item]],INDIRECT("'"&amp;Table1[[#This Row],[sheet]]&amp;"'!$A$8:$T$42"),Table1[[#This Row],[r]],FALSE)),"",VLOOKUP(Table1[[#This Row],[item]],INDIRECT("'"&amp;Table1[[#This Row],[sheet]]&amp;"'!$A$8:$T$42"),Table1[[#This Row],[r]],FALSE))</f>
        <v>0</v>
      </c>
      <c r="AE964">
        <f>IF(VLOOKUP(Table1[[#This Row],[sheet]],Prg!$A$7:$J$31,10,FALSE)="","",VLOOKUP(Table1[[#This Row],[sheet]],Prg!$A$7:$J$31,10,FALSE)*1)</f>
        <v>1</v>
      </c>
      <c r="AF964" t="str">
        <f>VLOOKUP(Table1[[#This Row],[sheet]],Prg!$A$7:$J$31,5,FALSE)</f>
        <v>PALESTINE</v>
      </c>
      <c r="AG964">
        <f>ROW()</f>
        <v>964</v>
      </c>
    </row>
    <row r="965" spans="24:33" hidden="1" x14ac:dyDescent="0.25">
      <c r="X965">
        <v>6</v>
      </c>
      <c r="Y965" t="s">
        <v>783</v>
      </c>
      <c r="Z965" t="s">
        <v>784</v>
      </c>
      <c r="AA965" t="str">
        <f>IF(OR(VLOOKUP(Table1[[#This Row],[sheet]],Prg!$A$7:$F$31,6,FALSE)=Prg!$O$2,VLOOKUP(Table1[[#This Row],[sheet]],Prg!$A$7:$F$31,6,FALSE)=Prg!$O$3),"Yes","No")</f>
        <v>Yes</v>
      </c>
      <c r="AB965">
        <v>2023</v>
      </c>
      <c r="AC965">
        <v>16</v>
      </c>
      <c r="AD965">
        <f ca="1">IF(ISERROR(VLOOKUP(Table1[[#This Row],[item]],INDIRECT("'"&amp;Table1[[#This Row],[sheet]]&amp;"'!$A$8:$T$42"),Table1[[#This Row],[r]],FALSE)),"",VLOOKUP(Table1[[#This Row],[item]],INDIRECT("'"&amp;Table1[[#This Row],[sheet]]&amp;"'!$A$8:$T$42"),Table1[[#This Row],[r]],FALSE))</f>
        <v>0</v>
      </c>
      <c r="AE965">
        <f>IF(VLOOKUP(Table1[[#This Row],[sheet]],Prg!$A$7:$J$31,10,FALSE)="","",VLOOKUP(Table1[[#This Row],[sheet]],Prg!$A$7:$J$31,10,FALSE)*1)</f>
        <v>1</v>
      </c>
      <c r="AF965" t="str">
        <f>VLOOKUP(Table1[[#This Row],[sheet]],Prg!$A$7:$J$31,5,FALSE)</f>
        <v>PALESTINE</v>
      </c>
      <c r="AG965">
        <f>ROW()</f>
        <v>965</v>
      </c>
    </row>
    <row r="966" spans="24:33" hidden="1" x14ac:dyDescent="0.25">
      <c r="X966">
        <v>6</v>
      </c>
      <c r="Y966" t="s">
        <v>785</v>
      </c>
      <c r="Z966" t="s">
        <v>786</v>
      </c>
      <c r="AA966" t="str">
        <f>IF(OR(VLOOKUP(Table1[[#This Row],[sheet]],Prg!$A$7:$F$31,6,FALSE)=Prg!$O$2,VLOOKUP(Table1[[#This Row],[sheet]],Prg!$A$7:$F$31,6,FALSE)=Prg!$O$3),"Yes","No")</f>
        <v>Yes</v>
      </c>
      <c r="AB966">
        <v>2023</v>
      </c>
      <c r="AC966">
        <v>16</v>
      </c>
      <c r="AD966">
        <f ca="1">IF(ISERROR(VLOOKUP(Table1[[#This Row],[item]],INDIRECT("'"&amp;Table1[[#This Row],[sheet]]&amp;"'!$A$8:$T$42"),Table1[[#This Row],[r]],FALSE)),"",VLOOKUP(Table1[[#This Row],[item]],INDIRECT("'"&amp;Table1[[#This Row],[sheet]]&amp;"'!$A$8:$T$42"),Table1[[#This Row],[r]],FALSE))</f>
        <v>270237.07</v>
      </c>
      <c r="AE966">
        <f>IF(VLOOKUP(Table1[[#This Row],[sheet]],Prg!$A$7:$J$31,10,FALSE)="","",VLOOKUP(Table1[[#This Row],[sheet]],Prg!$A$7:$J$31,10,FALSE)*1)</f>
        <v>1</v>
      </c>
      <c r="AF966" t="str">
        <f>VLOOKUP(Table1[[#This Row],[sheet]],Prg!$A$7:$J$31,5,FALSE)</f>
        <v>PALESTINE</v>
      </c>
      <c r="AG966">
        <f>ROW()</f>
        <v>966</v>
      </c>
    </row>
    <row r="967" spans="24:33" hidden="1" x14ac:dyDescent="0.25">
      <c r="X967">
        <v>6</v>
      </c>
      <c r="Y967" t="s">
        <v>787</v>
      </c>
      <c r="Z967" t="s">
        <v>633</v>
      </c>
      <c r="AA967" t="str">
        <f>IF(OR(VLOOKUP(Table1[[#This Row],[sheet]],Prg!$A$7:$F$31,6,FALSE)=Prg!$O$2,VLOOKUP(Table1[[#This Row],[sheet]],Prg!$A$7:$F$31,6,FALSE)=Prg!$O$3),"Yes","No")</f>
        <v>Yes</v>
      </c>
      <c r="AB967">
        <v>2023</v>
      </c>
      <c r="AC967">
        <v>16</v>
      </c>
      <c r="AD967">
        <f ca="1">IF(ISERROR(VLOOKUP(Table1[[#This Row],[item]],INDIRECT("'"&amp;Table1[[#This Row],[sheet]]&amp;"'!$A$8:$T$42"),Table1[[#This Row],[r]],FALSE)),"",VLOOKUP(Table1[[#This Row],[item]],INDIRECT("'"&amp;Table1[[#This Row],[sheet]]&amp;"'!$A$8:$T$42"),Table1[[#This Row],[r]],FALSE))</f>
        <v>0</v>
      </c>
      <c r="AE967">
        <f>IF(VLOOKUP(Table1[[#This Row],[sheet]],Prg!$A$7:$J$31,10,FALSE)="","",VLOOKUP(Table1[[#This Row],[sheet]],Prg!$A$7:$J$31,10,FALSE)*1)</f>
        <v>1</v>
      </c>
      <c r="AF967" t="str">
        <f>VLOOKUP(Table1[[#This Row],[sheet]],Prg!$A$7:$J$31,5,FALSE)</f>
        <v>PALESTINE</v>
      </c>
      <c r="AG967">
        <f>ROW()</f>
        <v>967</v>
      </c>
    </row>
    <row r="968" spans="24:33" hidden="1" x14ac:dyDescent="0.25">
      <c r="X968">
        <v>6</v>
      </c>
      <c r="Y968" t="s">
        <v>753</v>
      </c>
      <c r="Z968" t="s">
        <v>162</v>
      </c>
      <c r="AA968" t="str">
        <f>IF(OR(VLOOKUP(Table1[[#This Row],[sheet]],Prg!$A$7:$F$31,6,FALSE)=Prg!$O$2,VLOOKUP(Table1[[#This Row],[sheet]],Prg!$A$7:$F$31,6,FALSE)=Prg!$O$3),"Yes","No")</f>
        <v>Yes</v>
      </c>
      <c r="AB968">
        <v>2024</v>
      </c>
      <c r="AC968">
        <v>17</v>
      </c>
      <c r="AD968">
        <f ca="1">IF(ISERROR(VLOOKUP(Table1[[#This Row],[item]],INDIRECT("'"&amp;Table1[[#This Row],[sheet]]&amp;"'!$A$8:$T$42"),Table1[[#This Row],[r]],FALSE)),"",VLOOKUP(Table1[[#This Row],[item]],INDIRECT("'"&amp;Table1[[#This Row],[sheet]]&amp;"'!$A$8:$T$42"),Table1[[#This Row],[r]],FALSE))</f>
        <v>579235.73</v>
      </c>
      <c r="AE968">
        <f>IF(VLOOKUP(Table1[[#This Row],[sheet]],Prg!$A$7:$J$31,10,FALSE)="","",VLOOKUP(Table1[[#This Row],[sheet]],Prg!$A$7:$J$31,10,FALSE)*1)</f>
        <v>1</v>
      </c>
      <c r="AF968" t="str">
        <f>VLOOKUP(Table1[[#This Row],[sheet]],Prg!$A$7:$J$31,5,FALSE)</f>
        <v>PALESTINE</v>
      </c>
      <c r="AG968">
        <f>ROW()</f>
        <v>968</v>
      </c>
    </row>
    <row r="969" spans="24:33" hidden="1" x14ac:dyDescent="0.25">
      <c r="X969">
        <v>6</v>
      </c>
      <c r="Y969" t="s">
        <v>754</v>
      </c>
      <c r="Z969" t="s">
        <v>164</v>
      </c>
      <c r="AA969" t="str">
        <f>IF(OR(VLOOKUP(Table1[[#This Row],[sheet]],Prg!$A$7:$F$31,6,FALSE)=Prg!$O$2,VLOOKUP(Table1[[#This Row],[sheet]],Prg!$A$7:$F$31,6,FALSE)=Prg!$O$3),"Yes","No")</f>
        <v>Yes</v>
      </c>
      <c r="AB969">
        <v>2024</v>
      </c>
      <c r="AC969">
        <v>17</v>
      </c>
      <c r="AD969">
        <f ca="1">IF(ISERROR(VLOOKUP(Table1[[#This Row],[item]],INDIRECT("'"&amp;Table1[[#This Row],[sheet]]&amp;"'!$A$8:$T$42"),Table1[[#This Row],[r]],FALSE)),"",VLOOKUP(Table1[[#This Row],[item]],INDIRECT("'"&amp;Table1[[#This Row],[sheet]]&amp;"'!$A$8:$T$42"),Table1[[#This Row],[r]],FALSE))</f>
        <v>0</v>
      </c>
      <c r="AE969">
        <f>IF(VLOOKUP(Table1[[#This Row],[sheet]],Prg!$A$7:$J$31,10,FALSE)="","",VLOOKUP(Table1[[#This Row],[sheet]],Prg!$A$7:$J$31,10,FALSE)*1)</f>
        <v>1</v>
      </c>
      <c r="AF969" t="str">
        <f>VLOOKUP(Table1[[#This Row],[sheet]],Prg!$A$7:$J$31,5,FALSE)</f>
        <v>PALESTINE</v>
      </c>
      <c r="AG969">
        <f>ROW()</f>
        <v>969</v>
      </c>
    </row>
    <row r="970" spans="24:33" hidden="1" x14ac:dyDescent="0.25">
      <c r="X970">
        <v>6</v>
      </c>
      <c r="Y970" t="s">
        <v>755</v>
      </c>
      <c r="Z970" t="s">
        <v>166</v>
      </c>
      <c r="AA970" t="str">
        <f>IF(OR(VLOOKUP(Table1[[#This Row],[sheet]],Prg!$A$7:$F$31,6,FALSE)=Prg!$O$2,VLOOKUP(Table1[[#This Row],[sheet]],Prg!$A$7:$F$31,6,FALSE)=Prg!$O$3),"Yes","No")</f>
        <v>Yes</v>
      </c>
      <c r="AB970">
        <v>2024</v>
      </c>
      <c r="AC970">
        <v>17</v>
      </c>
      <c r="AD970">
        <f ca="1">IF(ISERROR(VLOOKUP(Table1[[#This Row],[item]],INDIRECT("'"&amp;Table1[[#This Row],[sheet]]&amp;"'!$A$8:$T$42"),Table1[[#This Row],[r]],FALSE)),"",VLOOKUP(Table1[[#This Row],[item]],INDIRECT("'"&amp;Table1[[#This Row],[sheet]]&amp;"'!$A$8:$T$42"),Table1[[#This Row],[r]],FALSE))</f>
        <v>469211.99</v>
      </c>
      <c r="AE970">
        <f>IF(VLOOKUP(Table1[[#This Row],[sheet]],Prg!$A$7:$J$31,10,FALSE)="","",VLOOKUP(Table1[[#This Row],[sheet]],Prg!$A$7:$J$31,10,FALSE)*1)</f>
        <v>1</v>
      </c>
      <c r="AF970" t="str">
        <f>VLOOKUP(Table1[[#This Row],[sheet]],Prg!$A$7:$J$31,5,FALSE)</f>
        <v>PALESTINE</v>
      </c>
      <c r="AG970">
        <f>ROW()</f>
        <v>970</v>
      </c>
    </row>
    <row r="971" spans="24:33" hidden="1" x14ac:dyDescent="0.25">
      <c r="X971">
        <v>6</v>
      </c>
      <c r="Y971" t="s">
        <v>756</v>
      </c>
      <c r="Z971" t="s">
        <v>757</v>
      </c>
      <c r="AA971" t="str">
        <f>IF(OR(VLOOKUP(Table1[[#This Row],[sheet]],Prg!$A$7:$F$31,6,FALSE)=Prg!$O$2,VLOOKUP(Table1[[#This Row],[sheet]],Prg!$A$7:$F$31,6,FALSE)=Prg!$O$3),"Yes","No")</f>
        <v>Yes</v>
      </c>
      <c r="AB971">
        <v>2024</v>
      </c>
      <c r="AC971">
        <v>17</v>
      </c>
      <c r="AD971">
        <f ca="1">IF(ISERROR(VLOOKUP(Table1[[#This Row],[item]],INDIRECT("'"&amp;Table1[[#This Row],[sheet]]&amp;"'!$A$8:$T$42"),Table1[[#This Row],[r]],FALSE)),"",VLOOKUP(Table1[[#This Row],[item]],INDIRECT("'"&amp;Table1[[#This Row],[sheet]]&amp;"'!$A$8:$T$42"),Table1[[#This Row],[r]],FALSE))</f>
        <v>110023.74</v>
      </c>
      <c r="AE971">
        <f>IF(VLOOKUP(Table1[[#This Row],[sheet]],Prg!$A$7:$J$31,10,FALSE)="","",VLOOKUP(Table1[[#This Row],[sheet]],Prg!$A$7:$J$31,10,FALSE)*1)</f>
        <v>1</v>
      </c>
      <c r="AF971" t="str">
        <f>VLOOKUP(Table1[[#This Row],[sheet]],Prg!$A$7:$J$31,5,FALSE)</f>
        <v>PALESTINE</v>
      </c>
      <c r="AG971">
        <f>ROW()</f>
        <v>971</v>
      </c>
    </row>
    <row r="972" spans="24:33" hidden="1" x14ac:dyDescent="0.25">
      <c r="X972">
        <v>6</v>
      </c>
      <c r="Y972" t="s">
        <v>758</v>
      </c>
      <c r="Z972" t="s">
        <v>170</v>
      </c>
      <c r="AA972" t="str">
        <f>IF(OR(VLOOKUP(Table1[[#This Row],[sheet]],Prg!$A$7:$F$31,6,FALSE)=Prg!$O$2,VLOOKUP(Table1[[#This Row],[sheet]],Prg!$A$7:$F$31,6,FALSE)=Prg!$O$3),"Yes","No")</f>
        <v>Yes</v>
      </c>
      <c r="AB972">
        <v>2024</v>
      </c>
      <c r="AC972">
        <v>17</v>
      </c>
      <c r="AD972">
        <f ca="1">IF(ISERROR(VLOOKUP(Table1[[#This Row],[item]],INDIRECT("'"&amp;Table1[[#This Row],[sheet]]&amp;"'!$A$8:$T$42"),Table1[[#This Row],[r]],FALSE)),"",VLOOKUP(Table1[[#This Row],[item]],INDIRECT("'"&amp;Table1[[#This Row],[sheet]]&amp;"'!$A$8:$T$42"),Table1[[#This Row],[r]],FALSE))</f>
        <v>16666.97</v>
      </c>
      <c r="AE972">
        <f>IF(VLOOKUP(Table1[[#This Row],[sheet]],Prg!$A$7:$J$31,10,FALSE)="","",VLOOKUP(Table1[[#This Row],[sheet]],Prg!$A$7:$J$31,10,FALSE)*1)</f>
        <v>1</v>
      </c>
      <c r="AF972" t="str">
        <f>VLOOKUP(Table1[[#This Row],[sheet]],Prg!$A$7:$J$31,5,FALSE)</f>
        <v>PALESTINE</v>
      </c>
      <c r="AG972">
        <f>ROW()</f>
        <v>972</v>
      </c>
    </row>
    <row r="973" spans="24:33" hidden="1" x14ac:dyDescent="0.25">
      <c r="X973">
        <v>6</v>
      </c>
      <c r="Y973" t="s">
        <v>759</v>
      </c>
      <c r="Z973" t="s">
        <v>172</v>
      </c>
      <c r="AA973" t="str">
        <f>IF(OR(VLOOKUP(Table1[[#This Row],[sheet]],Prg!$A$7:$F$31,6,FALSE)=Prg!$O$2,VLOOKUP(Table1[[#This Row],[sheet]],Prg!$A$7:$F$31,6,FALSE)=Prg!$O$3),"Yes","No")</f>
        <v>Yes</v>
      </c>
      <c r="AB973">
        <v>2024</v>
      </c>
      <c r="AC973">
        <v>17</v>
      </c>
      <c r="AD973">
        <f ca="1">IF(ISERROR(VLOOKUP(Table1[[#This Row],[item]],INDIRECT("'"&amp;Table1[[#This Row],[sheet]]&amp;"'!$A$8:$T$42"),Table1[[#This Row],[r]],FALSE)),"",VLOOKUP(Table1[[#This Row],[item]],INDIRECT("'"&amp;Table1[[#This Row],[sheet]]&amp;"'!$A$8:$T$42"),Table1[[#This Row],[r]],FALSE))</f>
        <v>0</v>
      </c>
      <c r="AE973">
        <f>IF(VLOOKUP(Table1[[#This Row],[sheet]],Prg!$A$7:$J$31,10,FALSE)="","",VLOOKUP(Table1[[#This Row],[sheet]],Prg!$A$7:$J$31,10,FALSE)*1)</f>
        <v>1</v>
      </c>
      <c r="AF973" t="str">
        <f>VLOOKUP(Table1[[#This Row],[sheet]],Prg!$A$7:$J$31,5,FALSE)</f>
        <v>PALESTINE</v>
      </c>
      <c r="AG973">
        <f>ROW()</f>
        <v>973</v>
      </c>
    </row>
    <row r="974" spans="24:33" hidden="1" x14ac:dyDescent="0.25">
      <c r="X974">
        <v>6</v>
      </c>
      <c r="Y974" t="s">
        <v>760</v>
      </c>
      <c r="Z974" t="s">
        <v>174</v>
      </c>
      <c r="AA974" t="str">
        <f>IF(OR(VLOOKUP(Table1[[#This Row],[sheet]],Prg!$A$7:$F$31,6,FALSE)=Prg!$O$2,VLOOKUP(Table1[[#This Row],[sheet]],Prg!$A$7:$F$31,6,FALSE)=Prg!$O$3),"Yes","No")</f>
        <v>Yes</v>
      </c>
      <c r="AB974">
        <v>2024</v>
      </c>
      <c r="AC974">
        <v>17</v>
      </c>
      <c r="AD974">
        <f ca="1">IF(ISERROR(VLOOKUP(Table1[[#This Row],[item]],INDIRECT("'"&amp;Table1[[#This Row],[sheet]]&amp;"'!$A$8:$T$42"),Table1[[#This Row],[r]],FALSE)),"",VLOOKUP(Table1[[#This Row],[item]],INDIRECT("'"&amp;Table1[[#This Row],[sheet]]&amp;"'!$A$8:$T$42"),Table1[[#This Row],[r]],FALSE))</f>
        <v>16666.97</v>
      </c>
      <c r="AE974">
        <f>IF(VLOOKUP(Table1[[#This Row],[sheet]],Prg!$A$7:$J$31,10,FALSE)="","",VLOOKUP(Table1[[#This Row],[sheet]],Prg!$A$7:$J$31,10,FALSE)*1)</f>
        <v>1</v>
      </c>
      <c r="AF974" t="str">
        <f>VLOOKUP(Table1[[#This Row],[sheet]],Prg!$A$7:$J$31,5,FALSE)</f>
        <v>PALESTINE</v>
      </c>
      <c r="AG974">
        <f>ROW()</f>
        <v>974</v>
      </c>
    </row>
    <row r="975" spans="24:33" hidden="1" x14ac:dyDescent="0.25">
      <c r="X975">
        <v>6</v>
      </c>
      <c r="Y975" t="s">
        <v>761</v>
      </c>
      <c r="Z975" t="s">
        <v>762</v>
      </c>
      <c r="AA975" t="str">
        <f>IF(OR(VLOOKUP(Table1[[#This Row],[sheet]],Prg!$A$7:$F$31,6,FALSE)=Prg!$O$2,VLOOKUP(Table1[[#This Row],[sheet]],Prg!$A$7:$F$31,6,FALSE)=Prg!$O$3),"Yes","No")</f>
        <v>Yes</v>
      </c>
      <c r="AB975">
        <v>2024</v>
      </c>
      <c r="AC975">
        <v>17</v>
      </c>
      <c r="AD975">
        <f ca="1">IF(ISERROR(VLOOKUP(Table1[[#This Row],[item]],INDIRECT("'"&amp;Table1[[#This Row],[sheet]]&amp;"'!$A$8:$T$42"),Table1[[#This Row],[r]],FALSE)),"",VLOOKUP(Table1[[#This Row],[item]],INDIRECT("'"&amp;Table1[[#This Row],[sheet]]&amp;"'!$A$8:$T$42"),Table1[[#This Row],[r]],FALSE))</f>
        <v>0</v>
      </c>
      <c r="AE975">
        <f>IF(VLOOKUP(Table1[[#This Row],[sheet]],Prg!$A$7:$J$31,10,FALSE)="","",VLOOKUP(Table1[[#This Row],[sheet]],Prg!$A$7:$J$31,10,FALSE)*1)</f>
        <v>1</v>
      </c>
      <c r="AF975" t="str">
        <f>VLOOKUP(Table1[[#This Row],[sheet]],Prg!$A$7:$J$31,5,FALSE)</f>
        <v>PALESTINE</v>
      </c>
      <c r="AG975">
        <f>ROW()</f>
        <v>975</v>
      </c>
    </row>
    <row r="976" spans="24:33" hidden="1" x14ac:dyDescent="0.25">
      <c r="X976">
        <v>6</v>
      </c>
      <c r="Y976" t="s">
        <v>763</v>
      </c>
      <c r="Z976" t="s">
        <v>178</v>
      </c>
      <c r="AA976" t="str">
        <f>IF(OR(VLOOKUP(Table1[[#This Row],[sheet]],Prg!$A$7:$F$31,6,FALSE)=Prg!$O$2,VLOOKUP(Table1[[#This Row],[sheet]],Prg!$A$7:$F$31,6,FALSE)=Prg!$O$3),"Yes","No")</f>
        <v>Yes</v>
      </c>
      <c r="AB976">
        <v>2024</v>
      </c>
      <c r="AC976">
        <v>17</v>
      </c>
      <c r="AD976">
        <f ca="1">IF(ISERROR(VLOOKUP(Table1[[#This Row],[item]],INDIRECT("'"&amp;Table1[[#This Row],[sheet]]&amp;"'!$A$8:$T$42"),Table1[[#This Row],[r]],FALSE)),"",VLOOKUP(Table1[[#This Row],[item]],INDIRECT("'"&amp;Table1[[#This Row],[sheet]]&amp;"'!$A$8:$T$42"),Table1[[#This Row],[r]],FALSE))</f>
        <v>183560.56999999998</v>
      </c>
      <c r="AE976">
        <f>IF(VLOOKUP(Table1[[#This Row],[sheet]],Prg!$A$7:$J$31,10,FALSE)="","",VLOOKUP(Table1[[#This Row],[sheet]],Prg!$A$7:$J$31,10,FALSE)*1)</f>
        <v>1</v>
      </c>
      <c r="AF976" t="str">
        <f>VLOOKUP(Table1[[#This Row],[sheet]],Prg!$A$7:$J$31,5,FALSE)</f>
        <v>PALESTINE</v>
      </c>
      <c r="AG976">
        <f>ROW()</f>
        <v>976</v>
      </c>
    </row>
    <row r="977" spans="24:33" hidden="1" x14ac:dyDescent="0.25">
      <c r="X977">
        <v>6</v>
      </c>
      <c r="Y977" t="s">
        <v>764</v>
      </c>
      <c r="Z977" t="s">
        <v>109</v>
      </c>
      <c r="AA977" t="str">
        <f>IF(OR(VLOOKUP(Table1[[#This Row],[sheet]],Prg!$A$7:$F$31,6,FALSE)=Prg!$O$2,VLOOKUP(Table1[[#This Row],[sheet]],Prg!$A$7:$F$31,6,FALSE)=Prg!$O$3),"Yes","No")</f>
        <v>Yes</v>
      </c>
      <c r="AB977">
        <v>2024</v>
      </c>
      <c r="AC977">
        <v>17</v>
      </c>
      <c r="AD977">
        <f ca="1">IF(ISERROR(VLOOKUP(Table1[[#This Row],[item]],INDIRECT("'"&amp;Table1[[#This Row],[sheet]]&amp;"'!$A$8:$T$42"),Table1[[#This Row],[r]],FALSE)),"",VLOOKUP(Table1[[#This Row],[item]],INDIRECT("'"&amp;Table1[[#This Row],[sheet]]&amp;"'!$A$8:$T$42"),Table1[[#This Row],[r]],FALSE))</f>
        <v>0</v>
      </c>
      <c r="AE977">
        <f>IF(VLOOKUP(Table1[[#This Row],[sheet]],Prg!$A$7:$J$31,10,FALSE)="","",VLOOKUP(Table1[[#This Row],[sheet]],Prg!$A$7:$J$31,10,FALSE)*1)</f>
        <v>1</v>
      </c>
      <c r="AF977" t="str">
        <f>VLOOKUP(Table1[[#This Row],[sheet]],Prg!$A$7:$J$31,5,FALSE)</f>
        <v>PALESTINE</v>
      </c>
      <c r="AG977">
        <f>ROW()</f>
        <v>977</v>
      </c>
    </row>
    <row r="978" spans="24:33" hidden="1" x14ac:dyDescent="0.25">
      <c r="X978">
        <v>6</v>
      </c>
      <c r="Y978" t="s">
        <v>765</v>
      </c>
      <c r="Z978" t="s">
        <v>117</v>
      </c>
      <c r="AA978" t="str">
        <f>IF(OR(VLOOKUP(Table1[[#This Row],[sheet]],Prg!$A$7:$F$31,6,FALSE)=Prg!$O$2,VLOOKUP(Table1[[#This Row],[sheet]],Prg!$A$7:$F$31,6,FALSE)=Prg!$O$3),"Yes","No")</f>
        <v>Yes</v>
      </c>
      <c r="AB978">
        <v>2024</v>
      </c>
      <c r="AC978">
        <v>17</v>
      </c>
      <c r="AD978">
        <f ca="1">IF(ISERROR(VLOOKUP(Table1[[#This Row],[item]],INDIRECT("'"&amp;Table1[[#This Row],[sheet]]&amp;"'!$A$8:$T$42"),Table1[[#This Row],[r]],FALSE)),"",VLOOKUP(Table1[[#This Row],[item]],INDIRECT("'"&amp;Table1[[#This Row],[sheet]]&amp;"'!$A$8:$T$42"),Table1[[#This Row],[r]],FALSE))</f>
        <v>35799.519999999997</v>
      </c>
      <c r="AE978">
        <f>IF(VLOOKUP(Table1[[#This Row],[sheet]],Prg!$A$7:$J$31,10,FALSE)="","",VLOOKUP(Table1[[#This Row],[sheet]],Prg!$A$7:$J$31,10,FALSE)*1)</f>
        <v>1</v>
      </c>
      <c r="AF978" t="str">
        <f>VLOOKUP(Table1[[#This Row],[sheet]],Prg!$A$7:$J$31,5,FALSE)</f>
        <v>PALESTINE</v>
      </c>
      <c r="AG978">
        <f>ROW()</f>
        <v>978</v>
      </c>
    </row>
    <row r="979" spans="24:33" hidden="1" x14ac:dyDescent="0.25">
      <c r="X979">
        <v>6</v>
      </c>
      <c r="Y979" t="s">
        <v>766</v>
      </c>
      <c r="Z979" t="s">
        <v>767</v>
      </c>
      <c r="AA979" t="str">
        <f>IF(OR(VLOOKUP(Table1[[#This Row],[sheet]],Prg!$A$7:$F$31,6,FALSE)=Prg!$O$2,VLOOKUP(Table1[[#This Row],[sheet]],Prg!$A$7:$F$31,6,FALSE)=Prg!$O$3),"Yes","No")</f>
        <v>Yes</v>
      </c>
      <c r="AB979">
        <v>2024</v>
      </c>
      <c r="AC979">
        <v>17</v>
      </c>
      <c r="AD979">
        <f ca="1">IF(ISERROR(VLOOKUP(Table1[[#This Row],[item]],INDIRECT("'"&amp;Table1[[#This Row],[sheet]]&amp;"'!$A$8:$T$42"),Table1[[#This Row],[r]],FALSE)),"",VLOOKUP(Table1[[#This Row],[item]],INDIRECT("'"&amp;Table1[[#This Row],[sheet]]&amp;"'!$A$8:$T$42"),Table1[[#This Row],[r]],FALSE))</f>
        <v>147761.04999999999</v>
      </c>
      <c r="AE979">
        <f>IF(VLOOKUP(Table1[[#This Row],[sheet]],Prg!$A$7:$J$31,10,FALSE)="","",VLOOKUP(Table1[[#This Row],[sheet]],Prg!$A$7:$J$31,10,FALSE)*1)</f>
        <v>1</v>
      </c>
      <c r="AF979" t="str">
        <f>VLOOKUP(Table1[[#This Row],[sheet]],Prg!$A$7:$J$31,5,FALSE)</f>
        <v>PALESTINE</v>
      </c>
      <c r="AG979">
        <f>ROW()</f>
        <v>979</v>
      </c>
    </row>
    <row r="980" spans="24:33" hidden="1" x14ac:dyDescent="0.25">
      <c r="X980">
        <v>6</v>
      </c>
      <c r="Y980" t="s">
        <v>768</v>
      </c>
      <c r="Z980" t="s">
        <v>182</v>
      </c>
      <c r="AA980" t="str">
        <f>IF(OR(VLOOKUP(Table1[[#This Row],[sheet]],Prg!$A$7:$F$31,6,FALSE)=Prg!$O$2,VLOOKUP(Table1[[#This Row],[sheet]],Prg!$A$7:$F$31,6,FALSE)=Prg!$O$3),"Yes","No")</f>
        <v>Yes</v>
      </c>
      <c r="AB980">
        <v>2024</v>
      </c>
      <c r="AC980">
        <v>17</v>
      </c>
      <c r="AD980">
        <f ca="1">IF(ISERROR(VLOOKUP(Table1[[#This Row],[item]],INDIRECT("'"&amp;Table1[[#This Row],[sheet]]&amp;"'!$A$8:$T$42"),Table1[[#This Row],[r]],FALSE)),"",VLOOKUP(Table1[[#This Row],[item]],INDIRECT("'"&amp;Table1[[#This Row],[sheet]]&amp;"'!$A$8:$T$42"),Table1[[#This Row],[r]],FALSE))</f>
        <v>3000</v>
      </c>
      <c r="AE980">
        <f>IF(VLOOKUP(Table1[[#This Row],[sheet]],Prg!$A$7:$J$31,10,FALSE)="","",VLOOKUP(Table1[[#This Row],[sheet]],Prg!$A$7:$J$31,10,FALSE)*1)</f>
        <v>1</v>
      </c>
      <c r="AF980" t="str">
        <f>VLOOKUP(Table1[[#This Row],[sheet]],Prg!$A$7:$J$31,5,FALSE)</f>
        <v>PALESTINE</v>
      </c>
      <c r="AG980">
        <f>ROW()</f>
        <v>980</v>
      </c>
    </row>
    <row r="981" spans="24:33" hidden="1" x14ac:dyDescent="0.25">
      <c r="X981">
        <v>6</v>
      </c>
      <c r="Y981" t="s">
        <v>769</v>
      </c>
      <c r="Z981" t="s">
        <v>184</v>
      </c>
      <c r="AA981" t="str">
        <f>IF(OR(VLOOKUP(Table1[[#This Row],[sheet]],Prg!$A$7:$F$31,6,FALSE)=Prg!$O$2,VLOOKUP(Table1[[#This Row],[sheet]],Prg!$A$7:$F$31,6,FALSE)=Prg!$O$3),"Yes","No")</f>
        <v>Yes</v>
      </c>
      <c r="AB981">
        <v>2024</v>
      </c>
      <c r="AC981">
        <v>17</v>
      </c>
      <c r="AD981">
        <f ca="1">IF(ISERROR(VLOOKUP(Table1[[#This Row],[item]],INDIRECT("'"&amp;Table1[[#This Row],[sheet]]&amp;"'!$A$8:$T$42"),Table1[[#This Row],[r]],FALSE)),"",VLOOKUP(Table1[[#This Row],[item]],INDIRECT("'"&amp;Table1[[#This Row],[sheet]]&amp;"'!$A$8:$T$42"),Table1[[#This Row],[r]],FALSE))</f>
        <v>0</v>
      </c>
      <c r="AE981">
        <f>IF(VLOOKUP(Table1[[#This Row],[sheet]],Prg!$A$7:$J$31,10,FALSE)="","",VLOOKUP(Table1[[#This Row],[sheet]],Prg!$A$7:$J$31,10,FALSE)*1)</f>
        <v>1</v>
      </c>
      <c r="AF981" t="str">
        <f>VLOOKUP(Table1[[#This Row],[sheet]],Prg!$A$7:$J$31,5,FALSE)</f>
        <v>PALESTINE</v>
      </c>
      <c r="AG981">
        <f>ROW()</f>
        <v>981</v>
      </c>
    </row>
    <row r="982" spans="24:33" hidden="1" x14ac:dyDescent="0.25">
      <c r="X982">
        <v>6</v>
      </c>
      <c r="Y982" t="s">
        <v>770</v>
      </c>
      <c r="Z982" t="s">
        <v>186</v>
      </c>
      <c r="AA982" t="str">
        <f>IF(OR(VLOOKUP(Table1[[#This Row],[sheet]],Prg!$A$7:$F$31,6,FALSE)=Prg!$O$2,VLOOKUP(Table1[[#This Row],[sheet]],Prg!$A$7:$F$31,6,FALSE)=Prg!$O$3),"Yes","No")</f>
        <v>Yes</v>
      </c>
      <c r="AB982">
        <v>2024</v>
      </c>
      <c r="AC982">
        <v>17</v>
      </c>
      <c r="AD982">
        <f ca="1">IF(ISERROR(VLOOKUP(Table1[[#This Row],[item]],INDIRECT("'"&amp;Table1[[#This Row],[sheet]]&amp;"'!$A$8:$T$42"),Table1[[#This Row],[r]],FALSE)),"",VLOOKUP(Table1[[#This Row],[item]],INDIRECT("'"&amp;Table1[[#This Row],[sheet]]&amp;"'!$A$8:$T$42"),Table1[[#This Row],[r]],FALSE))</f>
        <v>3000</v>
      </c>
      <c r="AE982">
        <f>IF(VLOOKUP(Table1[[#This Row],[sheet]],Prg!$A$7:$J$31,10,FALSE)="","",VLOOKUP(Table1[[#This Row],[sheet]],Prg!$A$7:$J$31,10,FALSE)*1)</f>
        <v>1</v>
      </c>
      <c r="AF982" t="str">
        <f>VLOOKUP(Table1[[#This Row],[sheet]],Prg!$A$7:$J$31,5,FALSE)</f>
        <v>PALESTINE</v>
      </c>
      <c r="AG982">
        <f>ROW()</f>
        <v>982</v>
      </c>
    </row>
    <row r="983" spans="24:33" hidden="1" x14ac:dyDescent="0.25">
      <c r="X983">
        <v>6</v>
      </c>
      <c r="Y983" t="s">
        <v>771</v>
      </c>
      <c r="Z983" t="s">
        <v>772</v>
      </c>
      <c r="AA983" t="str">
        <f>IF(OR(VLOOKUP(Table1[[#This Row],[sheet]],Prg!$A$7:$F$31,6,FALSE)=Prg!$O$2,VLOOKUP(Table1[[#This Row],[sheet]],Prg!$A$7:$F$31,6,FALSE)=Prg!$O$3),"Yes","No")</f>
        <v>Yes</v>
      </c>
      <c r="AB983">
        <v>2024</v>
      </c>
      <c r="AC983">
        <v>17</v>
      </c>
      <c r="AD983">
        <f ca="1">IF(ISERROR(VLOOKUP(Table1[[#This Row],[item]],INDIRECT("'"&amp;Table1[[#This Row],[sheet]]&amp;"'!$A$8:$T$42"),Table1[[#This Row],[r]],FALSE)),"",VLOOKUP(Table1[[#This Row],[item]],INDIRECT("'"&amp;Table1[[#This Row],[sheet]]&amp;"'!$A$8:$T$42"),Table1[[#This Row],[r]],FALSE))</f>
        <v>0</v>
      </c>
      <c r="AE983">
        <f>IF(VLOOKUP(Table1[[#This Row],[sheet]],Prg!$A$7:$J$31,10,FALSE)="","",VLOOKUP(Table1[[#This Row],[sheet]],Prg!$A$7:$J$31,10,FALSE)*1)</f>
        <v>1</v>
      </c>
      <c r="AF983" t="str">
        <f>VLOOKUP(Table1[[#This Row],[sheet]],Prg!$A$7:$J$31,5,FALSE)</f>
        <v>PALESTINE</v>
      </c>
      <c r="AG983">
        <f>ROW()</f>
        <v>983</v>
      </c>
    </row>
    <row r="984" spans="24:33" hidden="1" x14ac:dyDescent="0.25">
      <c r="X984">
        <v>6</v>
      </c>
      <c r="Y984" t="s">
        <v>773</v>
      </c>
      <c r="Z984" t="s">
        <v>190</v>
      </c>
      <c r="AA984" t="str">
        <f>IF(OR(VLOOKUP(Table1[[#This Row],[sheet]],Prg!$A$7:$F$31,6,FALSE)=Prg!$O$2,VLOOKUP(Table1[[#This Row],[sheet]],Prg!$A$7:$F$31,6,FALSE)=Prg!$O$3),"Yes","No")</f>
        <v>Yes</v>
      </c>
      <c r="AB984">
        <v>2024</v>
      </c>
      <c r="AC984">
        <v>17</v>
      </c>
      <c r="AD984">
        <f ca="1">IF(ISERROR(VLOOKUP(Table1[[#This Row],[item]],INDIRECT("'"&amp;Table1[[#This Row],[sheet]]&amp;"'!$A$8:$T$42"),Table1[[#This Row],[r]],FALSE)),"",VLOOKUP(Table1[[#This Row],[item]],INDIRECT("'"&amp;Table1[[#This Row],[sheet]]&amp;"'!$A$8:$T$42"),Table1[[#This Row],[r]],FALSE))</f>
        <v>782463.27</v>
      </c>
      <c r="AE984">
        <f>IF(VLOOKUP(Table1[[#This Row],[sheet]],Prg!$A$7:$J$31,10,FALSE)="","",VLOOKUP(Table1[[#This Row],[sheet]],Prg!$A$7:$J$31,10,FALSE)*1)</f>
        <v>1</v>
      </c>
      <c r="AF984" t="str">
        <f>VLOOKUP(Table1[[#This Row],[sheet]],Prg!$A$7:$J$31,5,FALSE)</f>
        <v>PALESTINE</v>
      </c>
      <c r="AG984">
        <f>ROW()</f>
        <v>984</v>
      </c>
    </row>
    <row r="985" spans="24:33" hidden="1" x14ac:dyDescent="0.25">
      <c r="X985">
        <v>6</v>
      </c>
      <c r="Y985" t="s">
        <v>709</v>
      </c>
      <c r="Z985" t="s">
        <v>192</v>
      </c>
      <c r="AA985" t="str">
        <f>IF(OR(VLOOKUP(Table1[[#This Row],[sheet]],Prg!$A$7:$F$31,6,FALSE)=Prg!$O$2,VLOOKUP(Table1[[#This Row],[sheet]],Prg!$A$7:$F$31,6,FALSE)=Prg!$O$3),"Yes","No")</f>
        <v>Yes</v>
      </c>
      <c r="AB985">
        <v>2024</v>
      </c>
      <c r="AC985">
        <v>17</v>
      </c>
      <c r="AD985">
        <f ca="1">IF(ISERROR(VLOOKUP(Table1[[#This Row],[item]],INDIRECT("'"&amp;Table1[[#This Row],[sheet]]&amp;"'!$A$8:$T$42"),Table1[[#This Row],[r]],FALSE)),"",VLOOKUP(Table1[[#This Row],[item]],INDIRECT("'"&amp;Table1[[#This Row],[sheet]]&amp;"'!$A$8:$T$42"),Table1[[#This Row],[r]],FALSE))</f>
        <v>0</v>
      </c>
      <c r="AE985">
        <f>IF(VLOOKUP(Table1[[#This Row],[sheet]],Prg!$A$7:$J$31,10,FALSE)="","",VLOOKUP(Table1[[#This Row],[sheet]],Prg!$A$7:$J$31,10,FALSE)*1)</f>
        <v>1</v>
      </c>
      <c r="AF985" t="str">
        <f>VLOOKUP(Table1[[#This Row],[sheet]],Prg!$A$7:$J$31,5,FALSE)</f>
        <v>PALESTINE</v>
      </c>
      <c r="AG985">
        <f>ROW()</f>
        <v>985</v>
      </c>
    </row>
    <row r="986" spans="24:33" hidden="1" x14ac:dyDescent="0.25">
      <c r="X986">
        <v>6</v>
      </c>
      <c r="Y986" t="s">
        <v>774</v>
      </c>
      <c r="Z986" t="s">
        <v>194</v>
      </c>
      <c r="AA986" t="str">
        <f>IF(OR(VLOOKUP(Table1[[#This Row],[sheet]],Prg!$A$7:$F$31,6,FALSE)=Prg!$O$2,VLOOKUP(Table1[[#This Row],[sheet]],Prg!$A$7:$F$31,6,FALSE)=Prg!$O$3),"Yes","No")</f>
        <v>Yes</v>
      </c>
      <c r="AB986">
        <v>2024</v>
      </c>
      <c r="AC986">
        <v>17</v>
      </c>
      <c r="AD986">
        <f ca="1">IF(ISERROR(VLOOKUP(Table1[[#This Row],[item]],INDIRECT("'"&amp;Table1[[#This Row],[sheet]]&amp;"'!$A$8:$T$42"),Table1[[#This Row],[r]],FALSE)),"",VLOOKUP(Table1[[#This Row],[item]],INDIRECT("'"&amp;Table1[[#This Row],[sheet]]&amp;"'!$A$8:$T$42"),Table1[[#This Row],[r]],FALSE))</f>
        <v>0</v>
      </c>
      <c r="AE986">
        <f>IF(VLOOKUP(Table1[[#This Row],[sheet]],Prg!$A$7:$J$31,10,FALSE)="","",VLOOKUP(Table1[[#This Row],[sheet]],Prg!$A$7:$J$31,10,FALSE)*1)</f>
        <v>1</v>
      </c>
      <c r="AF986" t="str">
        <f>VLOOKUP(Table1[[#This Row],[sheet]],Prg!$A$7:$J$31,5,FALSE)</f>
        <v>PALESTINE</v>
      </c>
      <c r="AG986">
        <f>ROW()</f>
        <v>986</v>
      </c>
    </row>
    <row r="987" spans="24:33" hidden="1" x14ac:dyDescent="0.25">
      <c r="X987">
        <v>6</v>
      </c>
      <c r="Y987" t="s">
        <v>775</v>
      </c>
      <c r="Z987" t="s">
        <v>196</v>
      </c>
      <c r="AA987" t="str">
        <f>IF(OR(VLOOKUP(Table1[[#This Row],[sheet]],Prg!$A$7:$F$31,6,FALSE)=Prg!$O$2,VLOOKUP(Table1[[#This Row],[sheet]],Prg!$A$7:$F$31,6,FALSE)=Prg!$O$3),"Yes","No")</f>
        <v>Yes</v>
      </c>
      <c r="AB987">
        <v>2024</v>
      </c>
      <c r="AC987">
        <v>17</v>
      </c>
      <c r="AD987">
        <f ca="1">IF(ISERROR(VLOOKUP(Table1[[#This Row],[item]],INDIRECT("'"&amp;Table1[[#This Row],[sheet]]&amp;"'!$A$8:$T$42"),Table1[[#This Row],[r]],FALSE)),"",VLOOKUP(Table1[[#This Row],[item]],INDIRECT("'"&amp;Table1[[#This Row],[sheet]]&amp;"'!$A$8:$T$42"),Table1[[#This Row],[r]],FALSE))</f>
        <v>0</v>
      </c>
      <c r="AE987">
        <f>IF(VLOOKUP(Table1[[#This Row],[sheet]],Prg!$A$7:$J$31,10,FALSE)="","",VLOOKUP(Table1[[#This Row],[sheet]],Prg!$A$7:$J$31,10,FALSE)*1)</f>
        <v>1</v>
      </c>
      <c r="AF987" t="str">
        <f>VLOOKUP(Table1[[#This Row],[sheet]],Prg!$A$7:$J$31,5,FALSE)</f>
        <v>PALESTINE</v>
      </c>
      <c r="AG987">
        <f>ROW()</f>
        <v>987</v>
      </c>
    </row>
    <row r="988" spans="24:33" hidden="1" x14ac:dyDescent="0.25">
      <c r="X988">
        <v>6</v>
      </c>
      <c r="Y988" t="s">
        <v>776</v>
      </c>
      <c r="Z988" t="s">
        <v>605</v>
      </c>
      <c r="AA988" t="str">
        <f>IF(OR(VLOOKUP(Table1[[#This Row],[sheet]],Prg!$A$7:$F$31,6,FALSE)=Prg!$O$2,VLOOKUP(Table1[[#This Row],[sheet]],Prg!$A$7:$F$31,6,FALSE)=Prg!$O$3),"Yes","No")</f>
        <v>Yes</v>
      </c>
      <c r="AB988">
        <v>2024</v>
      </c>
      <c r="AC988">
        <v>17</v>
      </c>
      <c r="AD988">
        <f ca="1">IF(ISERROR(VLOOKUP(Table1[[#This Row],[item]],INDIRECT("'"&amp;Table1[[#This Row],[sheet]]&amp;"'!$A$8:$T$42"),Table1[[#This Row],[r]],FALSE)),"",VLOOKUP(Table1[[#This Row],[item]],INDIRECT("'"&amp;Table1[[#This Row],[sheet]]&amp;"'!$A$8:$T$42"),Table1[[#This Row],[r]],FALSE))</f>
        <v>0</v>
      </c>
      <c r="AE988">
        <f>IF(VLOOKUP(Table1[[#This Row],[sheet]],Prg!$A$7:$J$31,10,FALSE)="","",VLOOKUP(Table1[[#This Row],[sheet]],Prg!$A$7:$J$31,10,FALSE)*1)</f>
        <v>1</v>
      </c>
      <c r="AF988" t="str">
        <f>VLOOKUP(Table1[[#This Row],[sheet]],Prg!$A$7:$J$31,5,FALSE)</f>
        <v>PALESTINE</v>
      </c>
      <c r="AG988">
        <f>ROW()</f>
        <v>988</v>
      </c>
    </row>
    <row r="989" spans="24:33" hidden="1" x14ac:dyDescent="0.25">
      <c r="X989">
        <v>6</v>
      </c>
      <c r="Y989" t="s">
        <v>711</v>
      </c>
      <c r="Z989" t="s">
        <v>200</v>
      </c>
      <c r="AA989" t="str">
        <f>IF(OR(VLOOKUP(Table1[[#This Row],[sheet]],Prg!$A$7:$F$31,6,FALSE)=Prg!$O$2,VLOOKUP(Table1[[#This Row],[sheet]],Prg!$A$7:$F$31,6,FALSE)=Prg!$O$3),"Yes","No")</f>
        <v>Yes</v>
      </c>
      <c r="AB989">
        <v>2024</v>
      </c>
      <c r="AC989">
        <v>17</v>
      </c>
      <c r="AD989">
        <f ca="1">IF(ISERROR(VLOOKUP(Table1[[#This Row],[item]],INDIRECT("'"&amp;Table1[[#This Row],[sheet]]&amp;"'!$A$8:$T$42"),Table1[[#This Row],[r]],FALSE)),"",VLOOKUP(Table1[[#This Row],[item]],INDIRECT("'"&amp;Table1[[#This Row],[sheet]]&amp;"'!$A$8:$T$42"),Table1[[#This Row],[r]],FALSE))</f>
        <v>524678.48</v>
      </c>
      <c r="AE989">
        <f>IF(VLOOKUP(Table1[[#This Row],[sheet]],Prg!$A$7:$J$31,10,FALSE)="","",VLOOKUP(Table1[[#This Row],[sheet]],Prg!$A$7:$J$31,10,FALSE)*1)</f>
        <v>1</v>
      </c>
      <c r="AF989" t="str">
        <f>VLOOKUP(Table1[[#This Row],[sheet]],Prg!$A$7:$J$31,5,FALSE)</f>
        <v>PALESTINE</v>
      </c>
      <c r="AG989">
        <f>ROW()</f>
        <v>989</v>
      </c>
    </row>
    <row r="990" spans="24:33" hidden="1" x14ac:dyDescent="0.25">
      <c r="X990">
        <v>6</v>
      </c>
      <c r="Y990" t="s">
        <v>777</v>
      </c>
      <c r="Z990" t="s">
        <v>202</v>
      </c>
      <c r="AA990" t="str">
        <f>IF(OR(VLOOKUP(Table1[[#This Row],[sheet]],Prg!$A$7:$F$31,6,FALSE)=Prg!$O$2,VLOOKUP(Table1[[#This Row],[sheet]],Prg!$A$7:$F$31,6,FALSE)=Prg!$O$3),"Yes","No")</f>
        <v>Yes</v>
      </c>
      <c r="AB990">
        <v>2024</v>
      </c>
      <c r="AC990">
        <v>17</v>
      </c>
      <c r="AD990">
        <f ca="1">IF(ISERROR(VLOOKUP(Table1[[#This Row],[item]],INDIRECT("'"&amp;Table1[[#This Row],[sheet]]&amp;"'!$A$8:$T$42"),Table1[[#This Row],[r]],FALSE)),"",VLOOKUP(Table1[[#This Row],[item]],INDIRECT("'"&amp;Table1[[#This Row],[sheet]]&amp;"'!$A$8:$T$42"),Table1[[#This Row],[r]],FALSE))</f>
        <v>14960</v>
      </c>
      <c r="AE990">
        <f>IF(VLOOKUP(Table1[[#This Row],[sheet]],Prg!$A$7:$J$31,10,FALSE)="","",VLOOKUP(Table1[[#This Row],[sheet]],Prg!$A$7:$J$31,10,FALSE)*1)</f>
        <v>1</v>
      </c>
      <c r="AF990" t="str">
        <f>VLOOKUP(Table1[[#This Row],[sheet]],Prg!$A$7:$J$31,5,FALSE)</f>
        <v>PALESTINE</v>
      </c>
      <c r="AG990">
        <f>ROW()</f>
        <v>990</v>
      </c>
    </row>
    <row r="991" spans="24:33" hidden="1" x14ac:dyDescent="0.25">
      <c r="X991">
        <v>6</v>
      </c>
      <c r="Y991" t="s">
        <v>778</v>
      </c>
      <c r="Z991" t="s">
        <v>204</v>
      </c>
      <c r="AA991" t="str">
        <f>IF(OR(VLOOKUP(Table1[[#This Row],[sheet]],Prg!$A$7:$F$31,6,FALSE)=Prg!$O$2,VLOOKUP(Table1[[#This Row],[sheet]],Prg!$A$7:$F$31,6,FALSE)=Prg!$O$3),"Yes","No")</f>
        <v>Yes</v>
      </c>
      <c r="AB991">
        <v>2024</v>
      </c>
      <c r="AC991">
        <v>17</v>
      </c>
      <c r="AD991">
        <f ca="1">IF(ISERROR(VLOOKUP(Table1[[#This Row],[item]],INDIRECT("'"&amp;Table1[[#This Row],[sheet]]&amp;"'!$A$8:$T$42"),Table1[[#This Row],[r]],FALSE)),"",VLOOKUP(Table1[[#This Row],[item]],INDIRECT("'"&amp;Table1[[#This Row],[sheet]]&amp;"'!$A$8:$T$42"),Table1[[#This Row],[r]],FALSE))</f>
        <v>27350</v>
      </c>
      <c r="AE991">
        <f>IF(VLOOKUP(Table1[[#This Row],[sheet]],Prg!$A$7:$J$31,10,FALSE)="","",VLOOKUP(Table1[[#This Row],[sheet]],Prg!$A$7:$J$31,10,FALSE)*1)</f>
        <v>1</v>
      </c>
      <c r="AF991" t="str">
        <f>VLOOKUP(Table1[[#This Row],[sheet]],Prg!$A$7:$J$31,5,FALSE)</f>
        <v>PALESTINE</v>
      </c>
      <c r="AG991">
        <f>ROW()</f>
        <v>991</v>
      </c>
    </row>
    <row r="992" spans="24:33" hidden="1" x14ac:dyDescent="0.25">
      <c r="X992">
        <v>6</v>
      </c>
      <c r="Y992" t="s">
        <v>779</v>
      </c>
      <c r="Z992" t="s">
        <v>605</v>
      </c>
      <c r="AA992" t="str">
        <f>IF(OR(VLOOKUP(Table1[[#This Row],[sheet]],Prg!$A$7:$F$31,6,FALSE)=Prg!$O$2,VLOOKUP(Table1[[#This Row],[sheet]],Prg!$A$7:$F$31,6,FALSE)=Prg!$O$3),"Yes","No")</f>
        <v>Yes</v>
      </c>
      <c r="AB992">
        <v>2024</v>
      </c>
      <c r="AC992">
        <v>17</v>
      </c>
      <c r="AD992">
        <f ca="1">IF(ISERROR(VLOOKUP(Table1[[#This Row],[item]],INDIRECT("'"&amp;Table1[[#This Row],[sheet]]&amp;"'!$A$8:$T$42"),Table1[[#This Row],[r]],FALSE)),"",VLOOKUP(Table1[[#This Row],[item]],INDIRECT("'"&amp;Table1[[#This Row],[sheet]]&amp;"'!$A$8:$T$42"),Table1[[#This Row],[r]],FALSE))</f>
        <v>482368.48</v>
      </c>
      <c r="AE992">
        <f>IF(VLOOKUP(Table1[[#This Row],[sheet]],Prg!$A$7:$J$31,10,FALSE)="","",VLOOKUP(Table1[[#This Row],[sheet]],Prg!$A$7:$J$31,10,FALSE)*1)</f>
        <v>1</v>
      </c>
      <c r="AF992" t="str">
        <f>VLOOKUP(Table1[[#This Row],[sheet]],Prg!$A$7:$J$31,5,FALSE)</f>
        <v>PALESTINE</v>
      </c>
      <c r="AG992">
        <f>ROW()</f>
        <v>992</v>
      </c>
    </row>
    <row r="993" spans="24:33" hidden="1" x14ac:dyDescent="0.25">
      <c r="X993">
        <v>6</v>
      </c>
      <c r="Y993" t="s">
        <v>712</v>
      </c>
      <c r="Z993" t="s">
        <v>780</v>
      </c>
      <c r="AA993" t="str">
        <f>IF(OR(VLOOKUP(Table1[[#This Row],[sheet]],Prg!$A$7:$F$31,6,FALSE)=Prg!$O$2,VLOOKUP(Table1[[#This Row],[sheet]],Prg!$A$7:$F$31,6,FALSE)=Prg!$O$3),"Yes","No")</f>
        <v>Yes</v>
      </c>
      <c r="AB993">
        <v>2024</v>
      </c>
      <c r="AC993">
        <v>17</v>
      </c>
      <c r="AD993">
        <f ca="1">IF(ISERROR(VLOOKUP(Table1[[#This Row],[item]],INDIRECT("'"&amp;Table1[[#This Row],[sheet]]&amp;"'!$A$8:$T$42"),Table1[[#This Row],[r]],FALSE)),"",VLOOKUP(Table1[[#This Row],[item]],INDIRECT("'"&amp;Table1[[#This Row],[sheet]]&amp;"'!$A$8:$T$42"),Table1[[#This Row],[r]],FALSE))</f>
        <v>257784.79</v>
      </c>
      <c r="AE993">
        <f>IF(VLOOKUP(Table1[[#This Row],[sheet]],Prg!$A$7:$J$31,10,FALSE)="","",VLOOKUP(Table1[[#This Row],[sheet]],Prg!$A$7:$J$31,10,FALSE)*1)</f>
        <v>1</v>
      </c>
      <c r="AF993" t="str">
        <f>VLOOKUP(Table1[[#This Row],[sheet]],Prg!$A$7:$J$31,5,FALSE)</f>
        <v>PALESTINE</v>
      </c>
      <c r="AG993">
        <f>ROW()</f>
        <v>993</v>
      </c>
    </row>
    <row r="994" spans="24:33" hidden="1" x14ac:dyDescent="0.25">
      <c r="X994">
        <v>6</v>
      </c>
      <c r="Y994" t="s">
        <v>781</v>
      </c>
      <c r="Z994" t="s">
        <v>782</v>
      </c>
      <c r="AA994" t="str">
        <f>IF(OR(VLOOKUP(Table1[[#This Row],[sheet]],Prg!$A$7:$F$31,6,FALSE)=Prg!$O$2,VLOOKUP(Table1[[#This Row],[sheet]],Prg!$A$7:$F$31,6,FALSE)=Prg!$O$3),"Yes","No")</f>
        <v>Yes</v>
      </c>
      <c r="AB994">
        <v>2024</v>
      </c>
      <c r="AC994">
        <v>17</v>
      </c>
      <c r="AD994">
        <f ca="1">IF(ISERROR(VLOOKUP(Table1[[#This Row],[item]],INDIRECT("'"&amp;Table1[[#This Row],[sheet]]&amp;"'!$A$8:$T$42"),Table1[[#This Row],[r]],FALSE)),"",VLOOKUP(Table1[[#This Row],[item]],INDIRECT("'"&amp;Table1[[#This Row],[sheet]]&amp;"'!$A$8:$T$42"),Table1[[#This Row],[r]],FALSE))</f>
        <v>0</v>
      </c>
      <c r="AE994">
        <f>IF(VLOOKUP(Table1[[#This Row],[sheet]],Prg!$A$7:$J$31,10,FALSE)="","",VLOOKUP(Table1[[#This Row],[sheet]],Prg!$A$7:$J$31,10,FALSE)*1)</f>
        <v>1</v>
      </c>
      <c r="AF994" t="str">
        <f>VLOOKUP(Table1[[#This Row],[sheet]],Prg!$A$7:$J$31,5,FALSE)</f>
        <v>PALESTINE</v>
      </c>
      <c r="AG994">
        <f>ROW()</f>
        <v>994</v>
      </c>
    </row>
    <row r="995" spans="24:33" hidden="1" x14ac:dyDescent="0.25">
      <c r="X995">
        <v>6</v>
      </c>
      <c r="Y995" t="s">
        <v>783</v>
      </c>
      <c r="Z995" t="s">
        <v>784</v>
      </c>
      <c r="AA995" t="str">
        <f>IF(OR(VLOOKUP(Table1[[#This Row],[sheet]],Prg!$A$7:$F$31,6,FALSE)=Prg!$O$2,VLOOKUP(Table1[[#This Row],[sheet]],Prg!$A$7:$F$31,6,FALSE)=Prg!$O$3),"Yes","No")</f>
        <v>Yes</v>
      </c>
      <c r="AB995">
        <v>2024</v>
      </c>
      <c r="AC995">
        <v>17</v>
      </c>
      <c r="AD995">
        <f ca="1">IF(ISERROR(VLOOKUP(Table1[[#This Row],[item]],INDIRECT("'"&amp;Table1[[#This Row],[sheet]]&amp;"'!$A$8:$T$42"),Table1[[#This Row],[r]],FALSE)),"",VLOOKUP(Table1[[#This Row],[item]],INDIRECT("'"&amp;Table1[[#This Row],[sheet]]&amp;"'!$A$8:$T$42"),Table1[[#This Row],[r]],FALSE))</f>
        <v>0</v>
      </c>
      <c r="AE995">
        <f>IF(VLOOKUP(Table1[[#This Row],[sheet]],Prg!$A$7:$J$31,10,FALSE)="","",VLOOKUP(Table1[[#This Row],[sheet]],Prg!$A$7:$J$31,10,FALSE)*1)</f>
        <v>1</v>
      </c>
      <c r="AF995" t="str">
        <f>VLOOKUP(Table1[[#This Row],[sheet]],Prg!$A$7:$J$31,5,FALSE)</f>
        <v>PALESTINE</v>
      </c>
      <c r="AG995">
        <f>ROW()</f>
        <v>995</v>
      </c>
    </row>
    <row r="996" spans="24:33" hidden="1" x14ac:dyDescent="0.25">
      <c r="X996">
        <v>6</v>
      </c>
      <c r="Y996" t="s">
        <v>785</v>
      </c>
      <c r="Z996" t="s">
        <v>786</v>
      </c>
      <c r="AA996" t="str">
        <f>IF(OR(VLOOKUP(Table1[[#This Row],[sheet]],Prg!$A$7:$F$31,6,FALSE)=Prg!$O$2,VLOOKUP(Table1[[#This Row],[sheet]],Prg!$A$7:$F$31,6,FALSE)=Prg!$O$3),"Yes","No")</f>
        <v>Yes</v>
      </c>
      <c r="AB996">
        <v>2024</v>
      </c>
      <c r="AC996">
        <v>17</v>
      </c>
      <c r="AD996">
        <f ca="1">IF(ISERROR(VLOOKUP(Table1[[#This Row],[item]],INDIRECT("'"&amp;Table1[[#This Row],[sheet]]&amp;"'!$A$8:$T$42"),Table1[[#This Row],[r]],FALSE)),"",VLOOKUP(Table1[[#This Row],[item]],INDIRECT("'"&amp;Table1[[#This Row],[sheet]]&amp;"'!$A$8:$T$42"),Table1[[#This Row],[r]],FALSE))</f>
        <v>257784.79</v>
      </c>
      <c r="AE996">
        <f>IF(VLOOKUP(Table1[[#This Row],[sheet]],Prg!$A$7:$J$31,10,FALSE)="","",VLOOKUP(Table1[[#This Row],[sheet]],Prg!$A$7:$J$31,10,FALSE)*1)</f>
        <v>1</v>
      </c>
      <c r="AF996" t="str">
        <f>VLOOKUP(Table1[[#This Row],[sheet]],Prg!$A$7:$J$31,5,FALSE)</f>
        <v>PALESTINE</v>
      </c>
      <c r="AG996">
        <f>ROW()</f>
        <v>996</v>
      </c>
    </row>
    <row r="997" spans="24:33" hidden="1" x14ac:dyDescent="0.25">
      <c r="X997">
        <v>6</v>
      </c>
      <c r="Y997" t="s">
        <v>787</v>
      </c>
      <c r="Z997" t="s">
        <v>633</v>
      </c>
      <c r="AA997" t="str">
        <f>IF(OR(VLOOKUP(Table1[[#This Row],[sheet]],Prg!$A$7:$F$31,6,FALSE)=Prg!$O$2,VLOOKUP(Table1[[#This Row],[sheet]],Prg!$A$7:$F$31,6,FALSE)=Prg!$O$3),"Yes","No")</f>
        <v>Yes</v>
      </c>
      <c r="AB997">
        <v>2024</v>
      </c>
      <c r="AC997">
        <v>17</v>
      </c>
      <c r="AD997">
        <f ca="1">IF(ISERROR(VLOOKUP(Table1[[#This Row],[item]],INDIRECT("'"&amp;Table1[[#This Row],[sheet]]&amp;"'!$A$8:$T$42"),Table1[[#This Row],[r]],FALSE)),"",VLOOKUP(Table1[[#This Row],[item]],INDIRECT("'"&amp;Table1[[#This Row],[sheet]]&amp;"'!$A$8:$T$42"),Table1[[#This Row],[r]],FALSE))</f>
        <v>0</v>
      </c>
      <c r="AE997">
        <f>IF(VLOOKUP(Table1[[#This Row],[sheet]],Prg!$A$7:$J$31,10,FALSE)="","",VLOOKUP(Table1[[#This Row],[sheet]],Prg!$A$7:$J$31,10,FALSE)*1)</f>
        <v>1</v>
      </c>
      <c r="AF997" t="str">
        <f>VLOOKUP(Table1[[#This Row],[sheet]],Prg!$A$7:$J$31,5,FALSE)</f>
        <v>PALESTINE</v>
      </c>
      <c r="AG997">
        <f>ROW()</f>
        <v>997</v>
      </c>
    </row>
    <row r="998" spans="24:33" hidden="1" x14ac:dyDescent="0.25">
      <c r="X998">
        <v>6</v>
      </c>
      <c r="Y998" t="s">
        <v>753</v>
      </c>
      <c r="Z998" t="s">
        <v>162</v>
      </c>
      <c r="AA998" t="str">
        <f>IF(OR(VLOOKUP(Table1[[#This Row],[sheet]],Prg!$A$7:$F$31,6,FALSE)=Prg!$O$2,VLOOKUP(Table1[[#This Row],[sheet]],Prg!$A$7:$F$31,6,FALSE)=Prg!$O$3),"Yes","No")</f>
        <v>Yes</v>
      </c>
      <c r="AB998">
        <v>2025</v>
      </c>
      <c r="AC998">
        <v>18</v>
      </c>
      <c r="AD998">
        <f ca="1">IF(ISERROR(VLOOKUP(Table1[[#This Row],[item]],INDIRECT("'"&amp;Table1[[#This Row],[sheet]]&amp;"'!$A$8:$T$42"),Table1[[#This Row],[r]],FALSE)),"",VLOOKUP(Table1[[#This Row],[item]],INDIRECT("'"&amp;Table1[[#This Row],[sheet]]&amp;"'!$A$8:$T$42"),Table1[[#This Row],[r]],FALSE))</f>
        <v>490626.77849323419</v>
      </c>
      <c r="AE998">
        <f>IF(VLOOKUP(Table1[[#This Row],[sheet]],Prg!$A$7:$J$31,10,FALSE)="","",VLOOKUP(Table1[[#This Row],[sheet]],Prg!$A$7:$J$31,10,FALSE)*1)</f>
        <v>1</v>
      </c>
      <c r="AF998" t="str">
        <f>VLOOKUP(Table1[[#This Row],[sheet]],Prg!$A$7:$J$31,5,FALSE)</f>
        <v>PALESTINE</v>
      </c>
      <c r="AG998">
        <f>ROW()</f>
        <v>998</v>
      </c>
    </row>
    <row r="999" spans="24:33" hidden="1" x14ac:dyDescent="0.25">
      <c r="X999">
        <v>6</v>
      </c>
      <c r="Y999" t="s">
        <v>754</v>
      </c>
      <c r="Z999" t="s">
        <v>164</v>
      </c>
      <c r="AA999" t="str">
        <f>IF(OR(VLOOKUP(Table1[[#This Row],[sheet]],Prg!$A$7:$F$31,6,FALSE)=Prg!$O$2,VLOOKUP(Table1[[#This Row],[sheet]],Prg!$A$7:$F$31,6,FALSE)=Prg!$O$3),"Yes","No")</f>
        <v>Yes</v>
      </c>
      <c r="AB999">
        <v>2025</v>
      </c>
      <c r="AC999">
        <v>18</v>
      </c>
      <c r="AD999">
        <f ca="1">IF(ISERROR(VLOOKUP(Table1[[#This Row],[item]],INDIRECT("'"&amp;Table1[[#This Row],[sheet]]&amp;"'!$A$8:$T$42"),Table1[[#This Row],[r]],FALSE)),"",VLOOKUP(Table1[[#This Row],[item]],INDIRECT("'"&amp;Table1[[#This Row],[sheet]]&amp;"'!$A$8:$T$42"),Table1[[#This Row],[r]],FALSE))</f>
        <v>0</v>
      </c>
      <c r="AE999">
        <f>IF(VLOOKUP(Table1[[#This Row],[sheet]],Prg!$A$7:$J$31,10,FALSE)="","",VLOOKUP(Table1[[#This Row],[sheet]],Prg!$A$7:$J$31,10,FALSE)*1)</f>
        <v>1</v>
      </c>
      <c r="AF999" t="str">
        <f>VLOOKUP(Table1[[#This Row],[sheet]],Prg!$A$7:$J$31,5,FALSE)</f>
        <v>PALESTINE</v>
      </c>
      <c r="AG999">
        <f>ROW()</f>
        <v>999</v>
      </c>
    </row>
    <row r="1000" spans="24:33" hidden="1" x14ac:dyDescent="0.25">
      <c r="X1000">
        <v>6</v>
      </c>
      <c r="Y1000" t="s">
        <v>755</v>
      </c>
      <c r="Z1000" t="s">
        <v>166</v>
      </c>
      <c r="AA1000" t="str">
        <f>IF(OR(VLOOKUP(Table1[[#This Row],[sheet]],Prg!$A$7:$F$31,6,FALSE)=Prg!$O$2,VLOOKUP(Table1[[#This Row],[sheet]],Prg!$A$7:$F$31,6,FALSE)=Prg!$O$3),"Yes","No")</f>
        <v>Yes</v>
      </c>
      <c r="AB1000">
        <v>2025</v>
      </c>
      <c r="AC1000">
        <v>18</v>
      </c>
      <c r="AD1000">
        <f ca="1">IF(ISERROR(VLOOKUP(Table1[[#This Row],[item]],INDIRECT("'"&amp;Table1[[#This Row],[sheet]]&amp;"'!$A$8:$T$42"),Table1[[#This Row],[r]],FALSE)),"",VLOOKUP(Table1[[#This Row],[item]],INDIRECT("'"&amp;Table1[[#This Row],[sheet]]&amp;"'!$A$8:$T$42"),Table1[[#This Row],[r]],FALSE))</f>
        <v>380603.0384932342</v>
      </c>
      <c r="AE1000">
        <f>IF(VLOOKUP(Table1[[#This Row],[sheet]],Prg!$A$7:$J$31,10,FALSE)="","",VLOOKUP(Table1[[#This Row],[sheet]],Prg!$A$7:$J$31,10,FALSE)*1)</f>
        <v>1</v>
      </c>
      <c r="AF1000" t="str">
        <f>VLOOKUP(Table1[[#This Row],[sheet]],Prg!$A$7:$J$31,5,FALSE)</f>
        <v>PALESTINE</v>
      </c>
      <c r="AG1000">
        <f>ROW()</f>
        <v>1000</v>
      </c>
    </row>
    <row r="1001" spans="24:33" hidden="1" x14ac:dyDescent="0.25">
      <c r="X1001">
        <v>6</v>
      </c>
      <c r="Y1001" t="s">
        <v>756</v>
      </c>
      <c r="Z1001" t="s">
        <v>757</v>
      </c>
      <c r="AA1001" t="str">
        <f>IF(OR(VLOOKUP(Table1[[#This Row],[sheet]],Prg!$A$7:$F$31,6,FALSE)=Prg!$O$2,VLOOKUP(Table1[[#This Row],[sheet]],Prg!$A$7:$F$31,6,FALSE)=Prg!$O$3),"Yes","No")</f>
        <v>Yes</v>
      </c>
      <c r="AB1001">
        <v>2025</v>
      </c>
      <c r="AC1001">
        <v>18</v>
      </c>
      <c r="AD1001">
        <f ca="1">IF(ISERROR(VLOOKUP(Table1[[#This Row],[item]],INDIRECT("'"&amp;Table1[[#This Row],[sheet]]&amp;"'!$A$8:$T$42"),Table1[[#This Row],[r]],FALSE)),"",VLOOKUP(Table1[[#This Row],[item]],INDIRECT("'"&amp;Table1[[#This Row],[sheet]]&amp;"'!$A$8:$T$42"),Table1[[#This Row],[r]],FALSE))</f>
        <v>110023.74</v>
      </c>
      <c r="AE1001">
        <f>IF(VLOOKUP(Table1[[#This Row],[sheet]],Prg!$A$7:$J$31,10,FALSE)="","",VLOOKUP(Table1[[#This Row],[sheet]],Prg!$A$7:$J$31,10,FALSE)*1)</f>
        <v>1</v>
      </c>
      <c r="AF1001" t="str">
        <f>VLOOKUP(Table1[[#This Row],[sheet]],Prg!$A$7:$J$31,5,FALSE)</f>
        <v>PALESTINE</v>
      </c>
      <c r="AG1001">
        <f>ROW()</f>
        <v>1001</v>
      </c>
    </row>
    <row r="1002" spans="24:33" hidden="1" x14ac:dyDescent="0.25">
      <c r="X1002">
        <v>6</v>
      </c>
      <c r="Y1002" t="s">
        <v>758</v>
      </c>
      <c r="Z1002" t="s">
        <v>170</v>
      </c>
      <c r="AA1002" t="str">
        <f>IF(OR(VLOOKUP(Table1[[#This Row],[sheet]],Prg!$A$7:$F$31,6,FALSE)=Prg!$O$2,VLOOKUP(Table1[[#This Row],[sheet]],Prg!$A$7:$F$31,6,FALSE)=Prg!$O$3),"Yes","No")</f>
        <v>Yes</v>
      </c>
      <c r="AB1002">
        <v>2025</v>
      </c>
      <c r="AC1002">
        <v>18</v>
      </c>
      <c r="AD1002">
        <f ca="1">IF(ISERROR(VLOOKUP(Table1[[#This Row],[item]],INDIRECT("'"&amp;Table1[[#This Row],[sheet]]&amp;"'!$A$8:$T$42"),Table1[[#This Row],[r]],FALSE)),"",VLOOKUP(Table1[[#This Row],[item]],INDIRECT("'"&amp;Table1[[#This Row],[sheet]]&amp;"'!$A$8:$T$42"),Table1[[#This Row],[r]],FALSE))</f>
        <v>0</v>
      </c>
      <c r="AE1002">
        <f>IF(VLOOKUP(Table1[[#This Row],[sheet]],Prg!$A$7:$J$31,10,FALSE)="","",VLOOKUP(Table1[[#This Row],[sheet]],Prg!$A$7:$J$31,10,FALSE)*1)</f>
        <v>1</v>
      </c>
      <c r="AF1002" t="str">
        <f>VLOOKUP(Table1[[#This Row],[sheet]],Prg!$A$7:$J$31,5,FALSE)</f>
        <v>PALESTINE</v>
      </c>
      <c r="AG1002">
        <f>ROW()</f>
        <v>1002</v>
      </c>
    </row>
    <row r="1003" spans="24:33" hidden="1" x14ac:dyDescent="0.25">
      <c r="X1003">
        <v>6</v>
      </c>
      <c r="Y1003" t="s">
        <v>759</v>
      </c>
      <c r="Z1003" t="s">
        <v>172</v>
      </c>
      <c r="AA1003" t="str">
        <f>IF(OR(VLOOKUP(Table1[[#This Row],[sheet]],Prg!$A$7:$F$31,6,FALSE)=Prg!$O$2,VLOOKUP(Table1[[#This Row],[sheet]],Prg!$A$7:$F$31,6,FALSE)=Prg!$O$3),"Yes","No")</f>
        <v>Yes</v>
      </c>
      <c r="AB1003">
        <v>2025</v>
      </c>
      <c r="AC1003">
        <v>18</v>
      </c>
      <c r="AD1003">
        <f ca="1">IF(ISERROR(VLOOKUP(Table1[[#This Row],[item]],INDIRECT("'"&amp;Table1[[#This Row],[sheet]]&amp;"'!$A$8:$T$42"),Table1[[#This Row],[r]],FALSE)),"",VLOOKUP(Table1[[#This Row],[item]],INDIRECT("'"&amp;Table1[[#This Row],[sheet]]&amp;"'!$A$8:$T$42"),Table1[[#This Row],[r]],FALSE))</f>
        <v>0</v>
      </c>
      <c r="AE1003">
        <f>IF(VLOOKUP(Table1[[#This Row],[sheet]],Prg!$A$7:$J$31,10,FALSE)="","",VLOOKUP(Table1[[#This Row],[sheet]],Prg!$A$7:$J$31,10,FALSE)*1)</f>
        <v>1</v>
      </c>
      <c r="AF1003" t="str">
        <f>VLOOKUP(Table1[[#This Row],[sheet]],Prg!$A$7:$J$31,5,FALSE)</f>
        <v>PALESTINE</v>
      </c>
      <c r="AG1003">
        <f>ROW()</f>
        <v>1003</v>
      </c>
    </row>
    <row r="1004" spans="24:33" hidden="1" x14ac:dyDescent="0.25">
      <c r="X1004">
        <v>6</v>
      </c>
      <c r="Y1004" t="s">
        <v>760</v>
      </c>
      <c r="Z1004" t="s">
        <v>174</v>
      </c>
      <c r="AA1004" t="str">
        <f>IF(OR(VLOOKUP(Table1[[#This Row],[sheet]],Prg!$A$7:$F$31,6,FALSE)=Prg!$O$2,VLOOKUP(Table1[[#This Row],[sheet]],Prg!$A$7:$F$31,6,FALSE)=Prg!$O$3),"Yes","No")</f>
        <v>Yes</v>
      </c>
      <c r="AB1004">
        <v>2025</v>
      </c>
      <c r="AC1004">
        <v>18</v>
      </c>
      <c r="AD1004">
        <f ca="1">IF(ISERROR(VLOOKUP(Table1[[#This Row],[item]],INDIRECT("'"&amp;Table1[[#This Row],[sheet]]&amp;"'!$A$8:$T$42"),Table1[[#This Row],[r]],FALSE)),"",VLOOKUP(Table1[[#This Row],[item]],INDIRECT("'"&amp;Table1[[#This Row],[sheet]]&amp;"'!$A$8:$T$42"),Table1[[#This Row],[r]],FALSE))</f>
        <v>0</v>
      </c>
      <c r="AE1004">
        <f>IF(VLOOKUP(Table1[[#This Row],[sheet]],Prg!$A$7:$J$31,10,FALSE)="","",VLOOKUP(Table1[[#This Row],[sheet]],Prg!$A$7:$J$31,10,FALSE)*1)</f>
        <v>1</v>
      </c>
      <c r="AF1004" t="str">
        <f>VLOOKUP(Table1[[#This Row],[sheet]],Prg!$A$7:$J$31,5,FALSE)</f>
        <v>PALESTINE</v>
      </c>
      <c r="AG1004">
        <f>ROW()</f>
        <v>1004</v>
      </c>
    </row>
    <row r="1005" spans="24:33" hidden="1" x14ac:dyDescent="0.25">
      <c r="X1005">
        <v>6</v>
      </c>
      <c r="Y1005" t="s">
        <v>761</v>
      </c>
      <c r="Z1005" t="s">
        <v>762</v>
      </c>
      <c r="AA1005" t="str">
        <f>IF(OR(VLOOKUP(Table1[[#This Row],[sheet]],Prg!$A$7:$F$31,6,FALSE)=Prg!$O$2,VLOOKUP(Table1[[#This Row],[sheet]],Prg!$A$7:$F$31,6,FALSE)=Prg!$O$3),"Yes","No")</f>
        <v>Yes</v>
      </c>
      <c r="AB1005">
        <v>2025</v>
      </c>
      <c r="AC1005">
        <v>18</v>
      </c>
      <c r="AD1005">
        <f ca="1">IF(ISERROR(VLOOKUP(Table1[[#This Row],[item]],INDIRECT("'"&amp;Table1[[#This Row],[sheet]]&amp;"'!$A$8:$T$42"),Table1[[#This Row],[r]],FALSE)),"",VLOOKUP(Table1[[#This Row],[item]],INDIRECT("'"&amp;Table1[[#This Row],[sheet]]&amp;"'!$A$8:$T$42"),Table1[[#This Row],[r]],FALSE))</f>
        <v>0</v>
      </c>
      <c r="AE1005">
        <f>IF(VLOOKUP(Table1[[#This Row],[sheet]],Prg!$A$7:$J$31,10,FALSE)="","",VLOOKUP(Table1[[#This Row],[sheet]],Prg!$A$7:$J$31,10,FALSE)*1)</f>
        <v>1</v>
      </c>
      <c r="AF1005" t="str">
        <f>VLOOKUP(Table1[[#This Row],[sheet]],Prg!$A$7:$J$31,5,FALSE)</f>
        <v>PALESTINE</v>
      </c>
      <c r="AG1005">
        <f>ROW()</f>
        <v>1005</v>
      </c>
    </row>
    <row r="1006" spans="24:33" hidden="1" x14ac:dyDescent="0.25">
      <c r="X1006">
        <v>6</v>
      </c>
      <c r="Y1006" t="s">
        <v>763</v>
      </c>
      <c r="Z1006" t="s">
        <v>178</v>
      </c>
      <c r="AA1006" t="str">
        <f>IF(OR(VLOOKUP(Table1[[#This Row],[sheet]],Prg!$A$7:$F$31,6,FALSE)=Prg!$O$2,VLOOKUP(Table1[[#This Row],[sheet]],Prg!$A$7:$F$31,6,FALSE)=Prg!$O$3),"Yes","No")</f>
        <v>Yes</v>
      </c>
      <c r="AB1006">
        <v>2025</v>
      </c>
      <c r="AC1006">
        <v>18</v>
      </c>
      <c r="AD1006">
        <f ca="1">IF(ISERROR(VLOOKUP(Table1[[#This Row],[item]],INDIRECT("'"&amp;Table1[[#This Row],[sheet]]&amp;"'!$A$8:$T$42"),Table1[[#This Row],[r]],FALSE)),"",VLOOKUP(Table1[[#This Row],[item]],INDIRECT("'"&amp;Table1[[#This Row],[sheet]]&amp;"'!$A$8:$T$42"),Table1[[#This Row],[r]],FALSE))</f>
        <v>178560.91999999998</v>
      </c>
      <c r="AE1006">
        <f>IF(VLOOKUP(Table1[[#This Row],[sheet]],Prg!$A$7:$J$31,10,FALSE)="","",VLOOKUP(Table1[[#This Row],[sheet]],Prg!$A$7:$J$31,10,FALSE)*1)</f>
        <v>1</v>
      </c>
      <c r="AF1006" t="str">
        <f>VLOOKUP(Table1[[#This Row],[sheet]],Prg!$A$7:$J$31,5,FALSE)</f>
        <v>PALESTINE</v>
      </c>
      <c r="AG1006">
        <f>ROW()</f>
        <v>1006</v>
      </c>
    </row>
    <row r="1007" spans="24:33" hidden="1" x14ac:dyDescent="0.25">
      <c r="X1007">
        <v>6</v>
      </c>
      <c r="Y1007" t="s">
        <v>764</v>
      </c>
      <c r="Z1007" t="s">
        <v>109</v>
      </c>
      <c r="AA1007" t="str">
        <f>IF(OR(VLOOKUP(Table1[[#This Row],[sheet]],Prg!$A$7:$F$31,6,FALSE)=Prg!$O$2,VLOOKUP(Table1[[#This Row],[sheet]],Prg!$A$7:$F$31,6,FALSE)=Prg!$O$3),"Yes","No")</f>
        <v>Yes</v>
      </c>
      <c r="AB1007">
        <v>2025</v>
      </c>
      <c r="AC1007">
        <v>18</v>
      </c>
      <c r="AD1007">
        <f ca="1">IF(ISERROR(VLOOKUP(Table1[[#This Row],[item]],INDIRECT("'"&amp;Table1[[#This Row],[sheet]]&amp;"'!$A$8:$T$42"),Table1[[#This Row],[r]],FALSE)),"",VLOOKUP(Table1[[#This Row],[item]],INDIRECT("'"&amp;Table1[[#This Row],[sheet]]&amp;"'!$A$8:$T$42"),Table1[[#This Row],[r]],FALSE))</f>
        <v>0</v>
      </c>
      <c r="AE1007">
        <f>IF(VLOOKUP(Table1[[#This Row],[sheet]],Prg!$A$7:$J$31,10,FALSE)="","",VLOOKUP(Table1[[#This Row],[sheet]],Prg!$A$7:$J$31,10,FALSE)*1)</f>
        <v>1</v>
      </c>
      <c r="AF1007" t="str">
        <f>VLOOKUP(Table1[[#This Row],[sheet]],Prg!$A$7:$J$31,5,FALSE)</f>
        <v>PALESTINE</v>
      </c>
      <c r="AG1007">
        <f>ROW()</f>
        <v>1007</v>
      </c>
    </row>
    <row r="1008" spans="24:33" hidden="1" x14ac:dyDescent="0.25">
      <c r="X1008">
        <v>6</v>
      </c>
      <c r="Y1008" t="s">
        <v>765</v>
      </c>
      <c r="Z1008" t="s">
        <v>117</v>
      </c>
      <c r="AA1008" t="str">
        <f>IF(OR(VLOOKUP(Table1[[#This Row],[sheet]],Prg!$A$7:$F$31,6,FALSE)=Prg!$O$2,VLOOKUP(Table1[[#This Row],[sheet]],Prg!$A$7:$F$31,6,FALSE)=Prg!$O$3),"Yes","No")</f>
        <v>Yes</v>
      </c>
      <c r="AB1008">
        <v>2025</v>
      </c>
      <c r="AC1008">
        <v>18</v>
      </c>
      <c r="AD1008">
        <f ca="1">IF(ISERROR(VLOOKUP(Table1[[#This Row],[item]],INDIRECT("'"&amp;Table1[[#This Row],[sheet]]&amp;"'!$A$8:$T$42"),Table1[[#This Row],[r]],FALSE)),"",VLOOKUP(Table1[[#This Row],[item]],INDIRECT("'"&amp;Table1[[#This Row],[sheet]]&amp;"'!$A$8:$T$42"),Table1[[#This Row],[r]],FALSE))</f>
        <v>30799.87</v>
      </c>
      <c r="AE1008">
        <f>IF(VLOOKUP(Table1[[#This Row],[sheet]],Prg!$A$7:$J$31,10,FALSE)="","",VLOOKUP(Table1[[#This Row],[sheet]],Prg!$A$7:$J$31,10,FALSE)*1)</f>
        <v>1</v>
      </c>
      <c r="AF1008" t="str">
        <f>VLOOKUP(Table1[[#This Row],[sheet]],Prg!$A$7:$J$31,5,FALSE)</f>
        <v>PALESTINE</v>
      </c>
      <c r="AG1008">
        <f>ROW()</f>
        <v>1008</v>
      </c>
    </row>
    <row r="1009" spans="24:33" hidden="1" x14ac:dyDescent="0.25">
      <c r="X1009">
        <v>6</v>
      </c>
      <c r="Y1009" t="s">
        <v>766</v>
      </c>
      <c r="Z1009" t="s">
        <v>767</v>
      </c>
      <c r="AA1009" t="str">
        <f>IF(OR(VLOOKUP(Table1[[#This Row],[sheet]],Prg!$A$7:$F$31,6,FALSE)=Prg!$O$2,VLOOKUP(Table1[[#This Row],[sheet]],Prg!$A$7:$F$31,6,FALSE)=Prg!$O$3),"Yes","No")</f>
        <v>Yes</v>
      </c>
      <c r="AB1009">
        <v>2025</v>
      </c>
      <c r="AC1009">
        <v>18</v>
      </c>
      <c r="AD1009">
        <f ca="1">IF(ISERROR(VLOOKUP(Table1[[#This Row],[item]],INDIRECT("'"&amp;Table1[[#This Row],[sheet]]&amp;"'!$A$8:$T$42"),Table1[[#This Row],[r]],FALSE)),"",VLOOKUP(Table1[[#This Row],[item]],INDIRECT("'"&amp;Table1[[#This Row],[sheet]]&amp;"'!$A$8:$T$42"),Table1[[#This Row],[r]],FALSE))</f>
        <v>147761.04999999999</v>
      </c>
      <c r="AE1009">
        <f>IF(VLOOKUP(Table1[[#This Row],[sheet]],Prg!$A$7:$J$31,10,FALSE)="","",VLOOKUP(Table1[[#This Row],[sheet]],Prg!$A$7:$J$31,10,FALSE)*1)</f>
        <v>1</v>
      </c>
      <c r="AF1009" t="str">
        <f>VLOOKUP(Table1[[#This Row],[sheet]],Prg!$A$7:$J$31,5,FALSE)</f>
        <v>PALESTINE</v>
      </c>
      <c r="AG1009">
        <f>ROW()</f>
        <v>1009</v>
      </c>
    </row>
    <row r="1010" spans="24:33" hidden="1" x14ac:dyDescent="0.25">
      <c r="X1010">
        <v>6</v>
      </c>
      <c r="Y1010" t="s">
        <v>768</v>
      </c>
      <c r="Z1010" t="s">
        <v>182</v>
      </c>
      <c r="AA1010" t="str">
        <f>IF(OR(VLOOKUP(Table1[[#This Row],[sheet]],Prg!$A$7:$F$31,6,FALSE)=Prg!$O$2,VLOOKUP(Table1[[#This Row],[sheet]],Prg!$A$7:$F$31,6,FALSE)=Prg!$O$3),"Yes","No")</f>
        <v>Yes</v>
      </c>
      <c r="AB1010">
        <v>2025</v>
      </c>
      <c r="AC1010">
        <v>18</v>
      </c>
      <c r="AD1010">
        <f ca="1">IF(ISERROR(VLOOKUP(Table1[[#This Row],[item]],INDIRECT("'"&amp;Table1[[#This Row],[sheet]]&amp;"'!$A$8:$T$42"),Table1[[#This Row],[r]],FALSE)),"",VLOOKUP(Table1[[#This Row],[item]],INDIRECT("'"&amp;Table1[[#This Row],[sheet]]&amp;"'!$A$8:$T$42"),Table1[[#This Row],[r]],FALSE))</f>
        <v>3000</v>
      </c>
      <c r="AE1010">
        <f>IF(VLOOKUP(Table1[[#This Row],[sheet]],Prg!$A$7:$J$31,10,FALSE)="","",VLOOKUP(Table1[[#This Row],[sheet]],Prg!$A$7:$J$31,10,FALSE)*1)</f>
        <v>1</v>
      </c>
      <c r="AF1010" t="str">
        <f>VLOOKUP(Table1[[#This Row],[sheet]],Prg!$A$7:$J$31,5,FALSE)</f>
        <v>PALESTINE</v>
      </c>
      <c r="AG1010">
        <f>ROW()</f>
        <v>1010</v>
      </c>
    </row>
    <row r="1011" spans="24:33" hidden="1" x14ac:dyDescent="0.25">
      <c r="X1011">
        <v>6</v>
      </c>
      <c r="Y1011" t="s">
        <v>769</v>
      </c>
      <c r="Z1011" t="s">
        <v>184</v>
      </c>
      <c r="AA1011" t="str">
        <f>IF(OR(VLOOKUP(Table1[[#This Row],[sheet]],Prg!$A$7:$F$31,6,FALSE)=Prg!$O$2,VLOOKUP(Table1[[#This Row],[sheet]],Prg!$A$7:$F$31,6,FALSE)=Prg!$O$3),"Yes","No")</f>
        <v>Yes</v>
      </c>
      <c r="AB1011">
        <v>2025</v>
      </c>
      <c r="AC1011">
        <v>18</v>
      </c>
      <c r="AD1011">
        <f ca="1">IF(ISERROR(VLOOKUP(Table1[[#This Row],[item]],INDIRECT("'"&amp;Table1[[#This Row],[sheet]]&amp;"'!$A$8:$T$42"),Table1[[#This Row],[r]],FALSE)),"",VLOOKUP(Table1[[#This Row],[item]],INDIRECT("'"&amp;Table1[[#This Row],[sheet]]&amp;"'!$A$8:$T$42"),Table1[[#This Row],[r]],FALSE))</f>
        <v>0</v>
      </c>
      <c r="AE1011">
        <f>IF(VLOOKUP(Table1[[#This Row],[sheet]],Prg!$A$7:$J$31,10,FALSE)="","",VLOOKUP(Table1[[#This Row],[sheet]],Prg!$A$7:$J$31,10,FALSE)*1)</f>
        <v>1</v>
      </c>
      <c r="AF1011" t="str">
        <f>VLOOKUP(Table1[[#This Row],[sheet]],Prg!$A$7:$J$31,5,FALSE)</f>
        <v>PALESTINE</v>
      </c>
      <c r="AG1011">
        <f>ROW()</f>
        <v>1011</v>
      </c>
    </row>
    <row r="1012" spans="24:33" hidden="1" x14ac:dyDescent="0.25">
      <c r="X1012">
        <v>6</v>
      </c>
      <c r="Y1012" t="s">
        <v>770</v>
      </c>
      <c r="Z1012" t="s">
        <v>186</v>
      </c>
      <c r="AA1012" t="str">
        <f>IF(OR(VLOOKUP(Table1[[#This Row],[sheet]],Prg!$A$7:$F$31,6,FALSE)=Prg!$O$2,VLOOKUP(Table1[[#This Row],[sheet]],Prg!$A$7:$F$31,6,FALSE)=Prg!$O$3),"Yes","No")</f>
        <v>Yes</v>
      </c>
      <c r="AB1012">
        <v>2025</v>
      </c>
      <c r="AC1012">
        <v>18</v>
      </c>
      <c r="AD1012">
        <f ca="1">IF(ISERROR(VLOOKUP(Table1[[#This Row],[item]],INDIRECT("'"&amp;Table1[[#This Row],[sheet]]&amp;"'!$A$8:$T$42"),Table1[[#This Row],[r]],FALSE)),"",VLOOKUP(Table1[[#This Row],[item]],INDIRECT("'"&amp;Table1[[#This Row],[sheet]]&amp;"'!$A$8:$T$42"),Table1[[#This Row],[r]],FALSE))</f>
        <v>3000</v>
      </c>
      <c r="AE1012">
        <f>IF(VLOOKUP(Table1[[#This Row],[sheet]],Prg!$A$7:$J$31,10,FALSE)="","",VLOOKUP(Table1[[#This Row],[sheet]],Prg!$A$7:$J$31,10,FALSE)*1)</f>
        <v>1</v>
      </c>
      <c r="AF1012" t="str">
        <f>VLOOKUP(Table1[[#This Row],[sheet]],Prg!$A$7:$J$31,5,FALSE)</f>
        <v>PALESTINE</v>
      </c>
      <c r="AG1012">
        <f>ROW()</f>
        <v>1012</v>
      </c>
    </row>
    <row r="1013" spans="24:33" hidden="1" x14ac:dyDescent="0.25">
      <c r="X1013">
        <v>6</v>
      </c>
      <c r="Y1013" t="s">
        <v>771</v>
      </c>
      <c r="Z1013" t="s">
        <v>772</v>
      </c>
      <c r="AA1013" t="str">
        <f>IF(OR(VLOOKUP(Table1[[#This Row],[sheet]],Prg!$A$7:$F$31,6,FALSE)=Prg!$O$2,VLOOKUP(Table1[[#This Row],[sheet]],Prg!$A$7:$F$31,6,FALSE)=Prg!$O$3),"Yes","No")</f>
        <v>Yes</v>
      </c>
      <c r="AB1013">
        <v>2025</v>
      </c>
      <c r="AC1013">
        <v>18</v>
      </c>
      <c r="AD1013">
        <f ca="1">IF(ISERROR(VLOOKUP(Table1[[#This Row],[item]],INDIRECT("'"&amp;Table1[[#This Row],[sheet]]&amp;"'!$A$8:$T$42"),Table1[[#This Row],[r]],FALSE)),"",VLOOKUP(Table1[[#This Row],[item]],INDIRECT("'"&amp;Table1[[#This Row],[sheet]]&amp;"'!$A$8:$T$42"),Table1[[#This Row],[r]],FALSE))</f>
        <v>0</v>
      </c>
      <c r="AE1013">
        <f>IF(VLOOKUP(Table1[[#This Row],[sheet]],Prg!$A$7:$J$31,10,FALSE)="","",VLOOKUP(Table1[[#This Row],[sheet]],Prg!$A$7:$J$31,10,FALSE)*1)</f>
        <v>1</v>
      </c>
      <c r="AF1013" t="str">
        <f>VLOOKUP(Table1[[#This Row],[sheet]],Prg!$A$7:$J$31,5,FALSE)</f>
        <v>PALESTINE</v>
      </c>
      <c r="AG1013">
        <f>ROW()</f>
        <v>1013</v>
      </c>
    </row>
    <row r="1014" spans="24:33" hidden="1" x14ac:dyDescent="0.25">
      <c r="X1014">
        <v>6</v>
      </c>
      <c r="Y1014" t="s">
        <v>773</v>
      </c>
      <c r="Z1014" t="s">
        <v>190</v>
      </c>
      <c r="AA1014" t="str">
        <f>IF(OR(VLOOKUP(Table1[[#This Row],[sheet]],Prg!$A$7:$F$31,6,FALSE)=Prg!$O$2,VLOOKUP(Table1[[#This Row],[sheet]],Prg!$A$7:$F$31,6,FALSE)=Prg!$O$3),"Yes","No")</f>
        <v>Yes</v>
      </c>
      <c r="AB1014">
        <v>2025</v>
      </c>
      <c r="AC1014">
        <v>18</v>
      </c>
      <c r="AD1014">
        <f ca="1">IF(ISERROR(VLOOKUP(Table1[[#This Row],[item]],INDIRECT("'"&amp;Table1[[#This Row],[sheet]]&amp;"'!$A$8:$T$42"),Table1[[#This Row],[r]],FALSE)),"",VLOOKUP(Table1[[#This Row],[item]],INDIRECT("'"&amp;Table1[[#This Row],[sheet]]&amp;"'!$A$8:$T$42"),Table1[[#This Row],[r]],FALSE))</f>
        <v>672187.69849323423</v>
      </c>
      <c r="AE1014">
        <f>IF(VLOOKUP(Table1[[#This Row],[sheet]],Prg!$A$7:$J$31,10,FALSE)="","",VLOOKUP(Table1[[#This Row],[sheet]],Prg!$A$7:$J$31,10,FALSE)*1)</f>
        <v>1</v>
      </c>
      <c r="AF1014" t="str">
        <f>VLOOKUP(Table1[[#This Row],[sheet]],Prg!$A$7:$J$31,5,FALSE)</f>
        <v>PALESTINE</v>
      </c>
      <c r="AG1014">
        <f>ROW()</f>
        <v>1014</v>
      </c>
    </row>
    <row r="1015" spans="24:33" hidden="1" x14ac:dyDescent="0.25">
      <c r="X1015">
        <v>6</v>
      </c>
      <c r="Y1015" t="s">
        <v>709</v>
      </c>
      <c r="Z1015" t="s">
        <v>192</v>
      </c>
      <c r="AA1015" t="str">
        <f>IF(OR(VLOOKUP(Table1[[#This Row],[sheet]],Prg!$A$7:$F$31,6,FALSE)=Prg!$O$2,VLOOKUP(Table1[[#This Row],[sheet]],Prg!$A$7:$F$31,6,FALSE)=Prg!$O$3),"Yes","No")</f>
        <v>Yes</v>
      </c>
      <c r="AB1015">
        <v>2025</v>
      </c>
      <c r="AC1015">
        <v>18</v>
      </c>
      <c r="AD1015">
        <f ca="1">IF(ISERROR(VLOOKUP(Table1[[#This Row],[item]],INDIRECT("'"&amp;Table1[[#This Row],[sheet]]&amp;"'!$A$8:$T$42"),Table1[[#This Row],[r]],FALSE)),"",VLOOKUP(Table1[[#This Row],[item]],INDIRECT("'"&amp;Table1[[#This Row],[sheet]]&amp;"'!$A$8:$T$42"),Table1[[#This Row],[r]],FALSE))</f>
        <v>0</v>
      </c>
      <c r="AE1015">
        <f>IF(VLOOKUP(Table1[[#This Row],[sheet]],Prg!$A$7:$J$31,10,FALSE)="","",VLOOKUP(Table1[[#This Row],[sheet]],Prg!$A$7:$J$31,10,FALSE)*1)</f>
        <v>1</v>
      </c>
      <c r="AF1015" t="str">
        <f>VLOOKUP(Table1[[#This Row],[sheet]],Prg!$A$7:$J$31,5,FALSE)</f>
        <v>PALESTINE</v>
      </c>
      <c r="AG1015">
        <f>ROW()</f>
        <v>1015</v>
      </c>
    </row>
    <row r="1016" spans="24:33" hidden="1" x14ac:dyDescent="0.25">
      <c r="X1016">
        <v>6</v>
      </c>
      <c r="Y1016" t="s">
        <v>774</v>
      </c>
      <c r="Z1016" t="s">
        <v>194</v>
      </c>
      <c r="AA1016" t="str">
        <f>IF(OR(VLOOKUP(Table1[[#This Row],[sheet]],Prg!$A$7:$F$31,6,FALSE)=Prg!$O$2,VLOOKUP(Table1[[#This Row],[sheet]],Prg!$A$7:$F$31,6,FALSE)=Prg!$O$3),"Yes","No")</f>
        <v>Yes</v>
      </c>
      <c r="AB1016">
        <v>2025</v>
      </c>
      <c r="AC1016">
        <v>18</v>
      </c>
      <c r="AD1016">
        <f ca="1">IF(ISERROR(VLOOKUP(Table1[[#This Row],[item]],INDIRECT("'"&amp;Table1[[#This Row],[sheet]]&amp;"'!$A$8:$T$42"),Table1[[#This Row],[r]],FALSE)),"",VLOOKUP(Table1[[#This Row],[item]],INDIRECT("'"&amp;Table1[[#This Row],[sheet]]&amp;"'!$A$8:$T$42"),Table1[[#This Row],[r]],FALSE))</f>
        <v>0</v>
      </c>
      <c r="AE1016">
        <f>IF(VLOOKUP(Table1[[#This Row],[sheet]],Prg!$A$7:$J$31,10,FALSE)="","",VLOOKUP(Table1[[#This Row],[sheet]],Prg!$A$7:$J$31,10,FALSE)*1)</f>
        <v>1</v>
      </c>
      <c r="AF1016" t="str">
        <f>VLOOKUP(Table1[[#This Row],[sheet]],Prg!$A$7:$J$31,5,FALSE)</f>
        <v>PALESTINE</v>
      </c>
      <c r="AG1016">
        <f>ROW()</f>
        <v>1016</v>
      </c>
    </row>
    <row r="1017" spans="24:33" hidden="1" x14ac:dyDescent="0.25">
      <c r="X1017">
        <v>6</v>
      </c>
      <c r="Y1017" t="s">
        <v>775</v>
      </c>
      <c r="Z1017" t="s">
        <v>196</v>
      </c>
      <c r="AA1017" t="str">
        <f>IF(OR(VLOOKUP(Table1[[#This Row],[sheet]],Prg!$A$7:$F$31,6,FALSE)=Prg!$O$2,VLOOKUP(Table1[[#This Row],[sheet]],Prg!$A$7:$F$31,6,FALSE)=Prg!$O$3),"Yes","No")</f>
        <v>Yes</v>
      </c>
      <c r="AB1017">
        <v>2025</v>
      </c>
      <c r="AC1017">
        <v>18</v>
      </c>
      <c r="AD1017">
        <f ca="1">IF(ISERROR(VLOOKUP(Table1[[#This Row],[item]],INDIRECT("'"&amp;Table1[[#This Row],[sheet]]&amp;"'!$A$8:$T$42"),Table1[[#This Row],[r]],FALSE)),"",VLOOKUP(Table1[[#This Row],[item]],INDIRECT("'"&amp;Table1[[#This Row],[sheet]]&amp;"'!$A$8:$T$42"),Table1[[#This Row],[r]],FALSE))</f>
        <v>0</v>
      </c>
      <c r="AE1017">
        <f>IF(VLOOKUP(Table1[[#This Row],[sheet]],Prg!$A$7:$J$31,10,FALSE)="","",VLOOKUP(Table1[[#This Row],[sheet]],Prg!$A$7:$J$31,10,FALSE)*1)</f>
        <v>1</v>
      </c>
      <c r="AF1017" t="str">
        <f>VLOOKUP(Table1[[#This Row],[sheet]],Prg!$A$7:$J$31,5,FALSE)</f>
        <v>PALESTINE</v>
      </c>
      <c r="AG1017">
        <f>ROW()</f>
        <v>1017</v>
      </c>
    </row>
    <row r="1018" spans="24:33" hidden="1" x14ac:dyDescent="0.25">
      <c r="X1018">
        <v>6</v>
      </c>
      <c r="Y1018" t="s">
        <v>776</v>
      </c>
      <c r="Z1018" t="s">
        <v>605</v>
      </c>
      <c r="AA1018" t="str">
        <f>IF(OR(VLOOKUP(Table1[[#This Row],[sheet]],Prg!$A$7:$F$31,6,FALSE)=Prg!$O$2,VLOOKUP(Table1[[#This Row],[sheet]],Prg!$A$7:$F$31,6,FALSE)=Prg!$O$3),"Yes","No")</f>
        <v>Yes</v>
      </c>
      <c r="AB1018">
        <v>2025</v>
      </c>
      <c r="AC1018">
        <v>18</v>
      </c>
      <c r="AD1018">
        <f ca="1">IF(ISERROR(VLOOKUP(Table1[[#This Row],[item]],INDIRECT("'"&amp;Table1[[#This Row],[sheet]]&amp;"'!$A$8:$T$42"),Table1[[#This Row],[r]],FALSE)),"",VLOOKUP(Table1[[#This Row],[item]],INDIRECT("'"&amp;Table1[[#This Row],[sheet]]&amp;"'!$A$8:$T$42"),Table1[[#This Row],[r]],FALSE))</f>
        <v>0</v>
      </c>
      <c r="AE1018">
        <f>IF(VLOOKUP(Table1[[#This Row],[sheet]],Prg!$A$7:$J$31,10,FALSE)="","",VLOOKUP(Table1[[#This Row],[sheet]],Prg!$A$7:$J$31,10,FALSE)*1)</f>
        <v>1</v>
      </c>
      <c r="AF1018" t="str">
        <f>VLOOKUP(Table1[[#This Row],[sheet]],Prg!$A$7:$J$31,5,FALSE)</f>
        <v>PALESTINE</v>
      </c>
      <c r="AG1018">
        <f>ROW()</f>
        <v>1018</v>
      </c>
    </row>
    <row r="1019" spans="24:33" hidden="1" x14ac:dyDescent="0.25">
      <c r="X1019">
        <v>6</v>
      </c>
      <c r="Y1019" t="s">
        <v>711</v>
      </c>
      <c r="Z1019" t="s">
        <v>200</v>
      </c>
      <c r="AA1019" t="str">
        <f>IF(OR(VLOOKUP(Table1[[#This Row],[sheet]],Prg!$A$7:$F$31,6,FALSE)=Prg!$O$2,VLOOKUP(Table1[[#This Row],[sheet]],Prg!$A$7:$F$31,6,FALSE)=Prg!$O$3),"Yes","No")</f>
        <v>Yes</v>
      </c>
      <c r="AB1019">
        <v>2025</v>
      </c>
      <c r="AC1019">
        <v>18</v>
      </c>
      <c r="AD1019">
        <f ca="1">IF(ISERROR(VLOOKUP(Table1[[#This Row],[item]],INDIRECT("'"&amp;Table1[[#This Row],[sheet]]&amp;"'!$A$8:$T$42"),Table1[[#This Row],[r]],FALSE)),"",VLOOKUP(Table1[[#This Row],[item]],INDIRECT("'"&amp;Table1[[#This Row],[sheet]]&amp;"'!$A$8:$T$42"),Table1[[#This Row],[r]],FALSE))</f>
        <v>414402.90849323419</v>
      </c>
      <c r="AE1019">
        <f>IF(VLOOKUP(Table1[[#This Row],[sheet]],Prg!$A$7:$J$31,10,FALSE)="","",VLOOKUP(Table1[[#This Row],[sheet]],Prg!$A$7:$J$31,10,FALSE)*1)</f>
        <v>1</v>
      </c>
      <c r="AF1019" t="str">
        <f>VLOOKUP(Table1[[#This Row],[sheet]],Prg!$A$7:$J$31,5,FALSE)</f>
        <v>PALESTINE</v>
      </c>
      <c r="AG1019">
        <f>ROW()</f>
        <v>1019</v>
      </c>
    </row>
    <row r="1020" spans="24:33" hidden="1" x14ac:dyDescent="0.25">
      <c r="X1020">
        <v>6</v>
      </c>
      <c r="Y1020" t="s">
        <v>777</v>
      </c>
      <c r="Z1020" t="s">
        <v>202</v>
      </c>
      <c r="AA1020" t="str">
        <f>IF(OR(VLOOKUP(Table1[[#This Row],[sheet]],Prg!$A$7:$F$31,6,FALSE)=Prg!$O$2,VLOOKUP(Table1[[#This Row],[sheet]],Prg!$A$7:$F$31,6,FALSE)=Prg!$O$3),"Yes","No")</f>
        <v>Yes</v>
      </c>
      <c r="AB1020">
        <v>2025</v>
      </c>
      <c r="AC1020">
        <v>18</v>
      </c>
      <c r="AD1020">
        <f ca="1">IF(ISERROR(VLOOKUP(Table1[[#This Row],[item]],INDIRECT("'"&amp;Table1[[#This Row],[sheet]]&amp;"'!$A$8:$T$42"),Table1[[#This Row],[r]],FALSE)),"",VLOOKUP(Table1[[#This Row],[item]],INDIRECT("'"&amp;Table1[[#This Row],[sheet]]&amp;"'!$A$8:$T$42"),Table1[[#This Row],[r]],FALSE))</f>
        <v>14960</v>
      </c>
      <c r="AE1020">
        <f>IF(VLOOKUP(Table1[[#This Row],[sheet]],Prg!$A$7:$J$31,10,FALSE)="","",VLOOKUP(Table1[[#This Row],[sheet]],Prg!$A$7:$J$31,10,FALSE)*1)</f>
        <v>1</v>
      </c>
      <c r="AF1020" t="str">
        <f>VLOOKUP(Table1[[#This Row],[sheet]],Prg!$A$7:$J$31,5,FALSE)</f>
        <v>PALESTINE</v>
      </c>
      <c r="AG1020">
        <f>ROW()</f>
        <v>1020</v>
      </c>
    </row>
    <row r="1021" spans="24:33" hidden="1" x14ac:dyDescent="0.25">
      <c r="X1021">
        <v>6</v>
      </c>
      <c r="Y1021" t="s">
        <v>778</v>
      </c>
      <c r="Z1021" t="s">
        <v>204</v>
      </c>
      <c r="AA1021" t="str">
        <f>IF(OR(VLOOKUP(Table1[[#This Row],[sheet]],Prg!$A$7:$F$31,6,FALSE)=Prg!$O$2,VLOOKUP(Table1[[#This Row],[sheet]],Prg!$A$7:$F$31,6,FALSE)=Prg!$O$3),"Yes","No")</f>
        <v>Yes</v>
      </c>
      <c r="AB1021">
        <v>2025</v>
      </c>
      <c r="AC1021">
        <v>18</v>
      </c>
      <c r="AD1021">
        <f ca="1">IF(ISERROR(VLOOKUP(Table1[[#This Row],[item]],INDIRECT("'"&amp;Table1[[#This Row],[sheet]]&amp;"'!$A$8:$T$42"),Table1[[#This Row],[r]],FALSE)),"",VLOOKUP(Table1[[#This Row],[item]],INDIRECT("'"&amp;Table1[[#This Row],[sheet]]&amp;"'!$A$8:$T$42"),Table1[[#This Row],[r]],FALSE))</f>
        <v>27349.87</v>
      </c>
      <c r="AE1021">
        <f>IF(VLOOKUP(Table1[[#This Row],[sheet]],Prg!$A$7:$J$31,10,FALSE)="","",VLOOKUP(Table1[[#This Row],[sheet]],Prg!$A$7:$J$31,10,FALSE)*1)</f>
        <v>1</v>
      </c>
      <c r="AF1021" t="str">
        <f>VLOOKUP(Table1[[#This Row],[sheet]],Prg!$A$7:$J$31,5,FALSE)</f>
        <v>PALESTINE</v>
      </c>
      <c r="AG1021">
        <f>ROW()</f>
        <v>1021</v>
      </c>
    </row>
    <row r="1022" spans="24:33" hidden="1" x14ac:dyDescent="0.25">
      <c r="X1022">
        <v>6</v>
      </c>
      <c r="Y1022" t="s">
        <v>779</v>
      </c>
      <c r="Z1022" t="s">
        <v>605</v>
      </c>
      <c r="AA1022" t="str">
        <f>IF(OR(VLOOKUP(Table1[[#This Row],[sheet]],Prg!$A$7:$F$31,6,FALSE)=Prg!$O$2,VLOOKUP(Table1[[#This Row],[sheet]],Prg!$A$7:$F$31,6,FALSE)=Prg!$O$3),"Yes","No")</f>
        <v>Yes</v>
      </c>
      <c r="AB1022">
        <v>2025</v>
      </c>
      <c r="AC1022">
        <v>18</v>
      </c>
      <c r="AD1022">
        <f ca="1">IF(ISERROR(VLOOKUP(Table1[[#This Row],[item]],INDIRECT("'"&amp;Table1[[#This Row],[sheet]]&amp;"'!$A$8:$T$42"),Table1[[#This Row],[r]],FALSE)),"",VLOOKUP(Table1[[#This Row],[item]],INDIRECT("'"&amp;Table1[[#This Row],[sheet]]&amp;"'!$A$8:$T$42"),Table1[[#This Row],[r]],FALSE))</f>
        <v>372093.0384932342</v>
      </c>
      <c r="AE1022">
        <f>IF(VLOOKUP(Table1[[#This Row],[sheet]],Prg!$A$7:$J$31,10,FALSE)="","",VLOOKUP(Table1[[#This Row],[sheet]],Prg!$A$7:$J$31,10,FALSE)*1)</f>
        <v>1</v>
      </c>
      <c r="AF1022" t="str">
        <f>VLOOKUP(Table1[[#This Row],[sheet]],Prg!$A$7:$J$31,5,FALSE)</f>
        <v>PALESTINE</v>
      </c>
      <c r="AG1022">
        <f>ROW()</f>
        <v>1022</v>
      </c>
    </row>
    <row r="1023" spans="24:33" hidden="1" x14ac:dyDescent="0.25">
      <c r="X1023">
        <v>6</v>
      </c>
      <c r="Y1023" t="s">
        <v>712</v>
      </c>
      <c r="Z1023" t="s">
        <v>780</v>
      </c>
      <c r="AA1023" t="str">
        <f>IF(OR(VLOOKUP(Table1[[#This Row],[sheet]],Prg!$A$7:$F$31,6,FALSE)=Prg!$O$2,VLOOKUP(Table1[[#This Row],[sheet]],Prg!$A$7:$F$31,6,FALSE)=Prg!$O$3),"Yes","No")</f>
        <v>Yes</v>
      </c>
      <c r="AB1023">
        <v>2025</v>
      </c>
      <c r="AC1023">
        <v>18</v>
      </c>
      <c r="AD1023">
        <f ca="1">IF(ISERROR(VLOOKUP(Table1[[#This Row],[item]],INDIRECT("'"&amp;Table1[[#This Row],[sheet]]&amp;"'!$A$8:$T$42"),Table1[[#This Row],[r]],FALSE)),"",VLOOKUP(Table1[[#This Row],[item]],INDIRECT("'"&amp;Table1[[#This Row],[sheet]]&amp;"'!$A$8:$T$42"),Table1[[#This Row],[r]],FALSE))</f>
        <v>257784.79</v>
      </c>
      <c r="AE1023">
        <f>IF(VLOOKUP(Table1[[#This Row],[sheet]],Prg!$A$7:$J$31,10,FALSE)="","",VLOOKUP(Table1[[#This Row],[sheet]],Prg!$A$7:$J$31,10,FALSE)*1)</f>
        <v>1</v>
      </c>
      <c r="AF1023" t="str">
        <f>VLOOKUP(Table1[[#This Row],[sheet]],Prg!$A$7:$J$31,5,FALSE)</f>
        <v>PALESTINE</v>
      </c>
      <c r="AG1023">
        <f>ROW()</f>
        <v>1023</v>
      </c>
    </row>
    <row r="1024" spans="24:33" hidden="1" x14ac:dyDescent="0.25">
      <c r="X1024">
        <v>6</v>
      </c>
      <c r="Y1024" t="s">
        <v>781</v>
      </c>
      <c r="Z1024" t="s">
        <v>782</v>
      </c>
      <c r="AA1024" t="str">
        <f>IF(OR(VLOOKUP(Table1[[#This Row],[sheet]],Prg!$A$7:$F$31,6,FALSE)=Prg!$O$2,VLOOKUP(Table1[[#This Row],[sheet]],Prg!$A$7:$F$31,6,FALSE)=Prg!$O$3),"Yes","No")</f>
        <v>Yes</v>
      </c>
      <c r="AB1024">
        <v>2025</v>
      </c>
      <c r="AC1024">
        <v>18</v>
      </c>
      <c r="AD1024">
        <f ca="1">IF(ISERROR(VLOOKUP(Table1[[#This Row],[item]],INDIRECT("'"&amp;Table1[[#This Row],[sheet]]&amp;"'!$A$8:$T$42"),Table1[[#This Row],[r]],FALSE)),"",VLOOKUP(Table1[[#This Row],[item]],INDIRECT("'"&amp;Table1[[#This Row],[sheet]]&amp;"'!$A$8:$T$42"),Table1[[#This Row],[r]],FALSE))</f>
        <v>0</v>
      </c>
      <c r="AE1024">
        <f>IF(VLOOKUP(Table1[[#This Row],[sheet]],Prg!$A$7:$J$31,10,FALSE)="","",VLOOKUP(Table1[[#This Row],[sheet]],Prg!$A$7:$J$31,10,FALSE)*1)</f>
        <v>1</v>
      </c>
      <c r="AF1024" t="str">
        <f>VLOOKUP(Table1[[#This Row],[sheet]],Prg!$A$7:$J$31,5,FALSE)</f>
        <v>PALESTINE</v>
      </c>
      <c r="AG1024">
        <f>ROW()</f>
        <v>1024</v>
      </c>
    </row>
    <row r="1025" spans="24:33" hidden="1" x14ac:dyDescent="0.25">
      <c r="X1025">
        <v>6</v>
      </c>
      <c r="Y1025" t="s">
        <v>783</v>
      </c>
      <c r="Z1025" t="s">
        <v>784</v>
      </c>
      <c r="AA1025" t="str">
        <f>IF(OR(VLOOKUP(Table1[[#This Row],[sheet]],Prg!$A$7:$F$31,6,FALSE)=Prg!$O$2,VLOOKUP(Table1[[#This Row],[sheet]],Prg!$A$7:$F$31,6,FALSE)=Prg!$O$3),"Yes","No")</f>
        <v>Yes</v>
      </c>
      <c r="AB1025">
        <v>2025</v>
      </c>
      <c r="AC1025">
        <v>18</v>
      </c>
      <c r="AD1025">
        <f ca="1">IF(ISERROR(VLOOKUP(Table1[[#This Row],[item]],INDIRECT("'"&amp;Table1[[#This Row],[sheet]]&amp;"'!$A$8:$T$42"),Table1[[#This Row],[r]],FALSE)),"",VLOOKUP(Table1[[#This Row],[item]],INDIRECT("'"&amp;Table1[[#This Row],[sheet]]&amp;"'!$A$8:$T$42"),Table1[[#This Row],[r]],FALSE))</f>
        <v>0</v>
      </c>
      <c r="AE1025">
        <f>IF(VLOOKUP(Table1[[#This Row],[sheet]],Prg!$A$7:$J$31,10,FALSE)="","",VLOOKUP(Table1[[#This Row],[sheet]],Prg!$A$7:$J$31,10,FALSE)*1)</f>
        <v>1</v>
      </c>
      <c r="AF1025" t="str">
        <f>VLOOKUP(Table1[[#This Row],[sheet]],Prg!$A$7:$J$31,5,FALSE)</f>
        <v>PALESTINE</v>
      </c>
      <c r="AG1025">
        <f>ROW()</f>
        <v>1025</v>
      </c>
    </row>
    <row r="1026" spans="24:33" hidden="1" x14ac:dyDescent="0.25">
      <c r="X1026">
        <v>6</v>
      </c>
      <c r="Y1026" t="s">
        <v>785</v>
      </c>
      <c r="Z1026" t="s">
        <v>786</v>
      </c>
      <c r="AA1026" t="str">
        <f>IF(OR(VLOOKUP(Table1[[#This Row],[sheet]],Prg!$A$7:$F$31,6,FALSE)=Prg!$O$2,VLOOKUP(Table1[[#This Row],[sheet]],Prg!$A$7:$F$31,6,FALSE)=Prg!$O$3),"Yes","No")</f>
        <v>Yes</v>
      </c>
      <c r="AB1026">
        <v>2025</v>
      </c>
      <c r="AC1026">
        <v>18</v>
      </c>
      <c r="AD1026">
        <f ca="1">IF(ISERROR(VLOOKUP(Table1[[#This Row],[item]],INDIRECT("'"&amp;Table1[[#This Row],[sheet]]&amp;"'!$A$8:$T$42"),Table1[[#This Row],[r]],FALSE)),"",VLOOKUP(Table1[[#This Row],[item]],INDIRECT("'"&amp;Table1[[#This Row],[sheet]]&amp;"'!$A$8:$T$42"),Table1[[#This Row],[r]],FALSE))</f>
        <v>257784.79</v>
      </c>
      <c r="AE1026">
        <f>IF(VLOOKUP(Table1[[#This Row],[sheet]],Prg!$A$7:$J$31,10,FALSE)="","",VLOOKUP(Table1[[#This Row],[sheet]],Prg!$A$7:$J$31,10,FALSE)*1)</f>
        <v>1</v>
      </c>
      <c r="AF1026" t="str">
        <f>VLOOKUP(Table1[[#This Row],[sheet]],Prg!$A$7:$J$31,5,FALSE)</f>
        <v>PALESTINE</v>
      </c>
      <c r="AG1026">
        <f>ROW()</f>
        <v>1026</v>
      </c>
    </row>
    <row r="1027" spans="24:33" hidden="1" x14ac:dyDescent="0.25">
      <c r="X1027">
        <v>6</v>
      </c>
      <c r="Y1027" t="s">
        <v>787</v>
      </c>
      <c r="Z1027" t="s">
        <v>633</v>
      </c>
      <c r="AA1027" t="str">
        <f>IF(OR(VLOOKUP(Table1[[#This Row],[sheet]],Prg!$A$7:$F$31,6,FALSE)=Prg!$O$2,VLOOKUP(Table1[[#This Row],[sheet]],Prg!$A$7:$F$31,6,FALSE)=Prg!$O$3),"Yes","No")</f>
        <v>Yes</v>
      </c>
      <c r="AB1027">
        <v>2025</v>
      </c>
      <c r="AC1027">
        <v>18</v>
      </c>
      <c r="AD1027">
        <f ca="1">IF(ISERROR(VLOOKUP(Table1[[#This Row],[item]],INDIRECT("'"&amp;Table1[[#This Row],[sheet]]&amp;"'!$A$8:$T$42"),Table1[[#This Row],[r]],FALSE)),"",VLOOKUP(Table1[[#This Row],[item]],INDIRECT("'"&amp;Table1[[#This Row],[sheet]]&amp;"'!$A$8:$T$42"),Table1[[#This Row],[r]],FALSE))</f>
        <v>0</v>
      </c>
      <c r="AE1027">
        <f>IF(VLOOKUP(Table1[[#This Row],[sheet]],Prg!$A$7:$J$31,10,FALSE)="","",VLOOKUP(Table1[[#This Row],[sheet]],Prg!$A$7:$J$31,10,FALSE)*1)</f>
        <v>1</v>
      </c>
      <c r="AF1027" t="str">
        <f>VLOOKUP(Table1[[#This Row],[sheet]],Prg!$A$7:$J$31,5,FALSE)</f>
        <v>PALESTINE</v>
      </c>
      <c r="AG1027">
        <f>ROW()</f>
        <v>1027</v>
      </c>
    </row>
    <row r="1028" spans="24:33" hidden="1" x14ac:dyDescent="0.25">
      <c r="X1028">
        <v>6</v>
      </c>
      <c r="Y1028" t="s">
        <v>753</v>
      </c>
      <c r="Z1028" t="s">
        <v>162</v>
      </c>
      <c r="AA1028" t="str">
        <f>IF(OR(VLOOKUP(Table1[[#This Row],[sheet]],Prg!$A$7:$F$31,6,FALSE)=Prg!$O$2,VLOOKUP(Table1[[#This Row],[sheet]],Prg!$A$7:$F$31,6,FALSE)=Prg!$O$3),"Yes","No")</f>
        <v>Yes</v>
      </c>
      <c r="AB1028">
        <v>2026</v>
      </c>
      <c r="AC1028">
        <v>19</v>
      </c>
      <c r="AD1028">
        <f ca="1">IF(ISERROR(VLOOKUP(Table1[[#This Row],[item]],INDIRECT("'"&amp;Table1[[#This Row],[sheet]]&amp;"'!$A$8:$T$42"),Table1[[#This Row],[r]],FALSE)),"",VLOOKUP(Table1[[#This Row],[item]],INDIRECT("'"&amp;Table1[[#This Row],[sheet]]&amp;"'!$A$8:$T$42"),Table1[[#This Row],[r]],FALSE))</f>
        <v>351313.12535037636</v>
      </c>
      <c r="AE1028">
        <f>IF(VLOOKUP(Table1[[#This Row],[sheet]],Prg!$A$7:$J$31,10,FALSE)="","",VLOOKUP(Table1[[#This Row],[sheet]],Prg!$A$7:$J$31,10,FALSE)*1)</f>
        <v>1</v>
      </c>
      <c r="AF1028" t="str">
        <f>VLOOKUP(Table1[[#This Row],[sheet]],Prg!$A$7:$J$31,5,FALSE)</f>
        <v>PALESTINE</v>
      </c>
      <c r="AG1028">
        <f>ROW()</f>
        <v>1028</v>
      </c>
    </row>
    <row r="1029" spans="24:33" hidden="1" x14ac:dyDescent="0.25">
      <c r="X1029">
        <v>6</v>
      </c>
      <c r="Y1029" t="s">
        <v>754</v>
      </c>
      <c r="Z1029" t="s">
        <v>164</v>
      </c>
      <c r="AA1029" t="str">
        <f>IF(OR(VLOOKUP(Table1[[#This Row],[sheet]],Prg!$A$7:$F$31,6,FALSE)=Prg!$O$2,VLOOKUP(Table1[[#This Row],[sheet]],Prg!$A$7:$F$31,6,FALSE)=Prg!$O$3),"Yes","No")</f>
        <v>Yes</v>
      </c>
      <c r="AB1029">
        <v>2026</v>
      </c>
      <c r="AC1029">
        <v>19</v>
      </c>
      <c r="AD1029">
        <f ca="1">IF(ISERROR(VLOOKUP(Table1[[#This Row],[item]],INDIRECT("'"&amp;Table1[[#This Row],[sheet]]&amp;"'!$A$8:$T$42"),Table1[[#This Row],[r]],FALSE)),"",VLOOKUP(Table1[[#This Row],[item]],INDIRECT("'"&amp;Table1[[#This Row],[sheet]]&amp;"'!$A$8:$T$42"),Table1[[#This Row],[r]],FALSE))</f>
        <v>0</v>
      </c>
      <c r="AE1029">
        <f>IF(VLOOKUP(Table1[[#This Row],[sheet]],Prg!$A$7:$J$31,10,FALSE)="","",VLOOKUP(Table1[[#This Row],[sheet]],Prg!$A$7:$J$31,10,FALSE)*1)</f>
        <v>1</v>
      </c>
      <c r="AF1029" t="str">
        <f>VLOOKUP(Table1[[#This Row],[sheet]],Prg!$A$7:$J$31,5,FALSE)</f>
        <v>PALESTINE</v>
      </c>
      <c r="AG1029">
        <f>ROW()</f>
        <v>1029</v>
      </c>
    </row>
    <row r="1030" spans="24:33" hidden="1" x14ac:dyDescent="0.25">
      <c r="X1030">
        <v>6</v>
      </c>
      <c r="Y1030" t="s">
        <v>755</v>
      </c>
      <c r="Z1030" t="s">
        <v>166</v>
      </c>
      <c r="AA1030" t="str">
        <f>IF(OR(VLOOKUP(Table1[[#This Row],[sheet]],Prg!$A$7:$F$31,6,FALSE)=Prg!$O$2,VLOOKUP(Table1[[#This Row],[sheet]],Prg!$A$7:$F$31,6,FALSE)=Prg!$O$3),"Yes","No")</f>
        <v>Yes</v>
      </c>
      <c r="AB1030">
        <v>2026</v>
      </c>
      <c r="AC1030">
        <v>19</v>
      </c>
      <c r="AD1030">
        <f ca="1">IF(ISERROR(VLOOKUP(Table1[[#This Row],[item]],INDIRECT("'"&amp;Table1[[#This Row],[sheet]]&amp;"'!$A$8:$T$42"),Table1[[#This Row],[r]],FALSE)),"",VLOOKUP(Table1[[#This Row],[item]],INDIRECT("'"&amp;Table1[[#This Row],[sheet]]&amp;"'!$A$8:$T$42"),Table1[[#This Row],[r]],FALSE))</f>
        <v>241289.38535037637</v>
      </c>
      <c r="AE1030">
        <f>IF(VLOOKUP(Table1[[#This Row],[sheet]],Prg!$A$7:$J$31,10,FALSE)="","",VLOOKUP(Table1[[#This Row],[sheet]],Prg!$A$7:$J$31,10,FALSE)*1)</f>
        <v>1</v>
      </c>
      <c r="AF1030" t="str">
        <f>VLOOKUP(Table1[[#This Row],[sheet]],Prg!$A$7:$J$31,5,FALSE)</f>
        <v>PALESTINE</v>
      </c>
      <c r="AG1030">
        <f>ROW()</f>
        <v>1030</v>
      </c>
    </row>
    <row r="1031" spans="24:33" hidden="1" x14ac:dyDescent="0.25">
      <c r="X1031">
        <v>6</v>
      </c>
      <c r="Y1031" t="s">
        <v>756</v>
      </c>
      <c r="Z1031" t="s">
        <v>757</v>
      </c>
      <c r="AA1031" t="str">
        <f>IF(OR(VLOOKUP(Table1[[#This Row],[sheet]],Prg!$A$7:$F$31,6,FALSE)=Prg!$O$2,VLOOKUP(Table1[[#This Row],[sheet]],Prg!$A$7:$F$31,6,FALSE)=Prg!$O$3),"Yes","No")</f>
        <v>Yes</v>
      </c>
      <c r="AB1031">
        <v>2026</v>
      </c>
      <c r="AC1031">
        <v>19</v>
      </c>
      <c r="AD1031">
        <f ca="1">IF(ISERROR(VLOOKUP(Table1[[#This Row],[item]],INDIRECT("'"&amp;Table1[[#This Row],[sheet]]&amp;"'!$A$8:$T$42"),Table1[[#This Row],[r]],FALSE)),"",VLOOKUP(Table1[[#This Row],[item]],INDIRECT("'"&amp;Table1[[#This Row],[sheet]]&amp;"'!$A$8:$T$42"),Table1[[#This Row],[r]],FALSE))</f>
        <v>110023.74</v>
      </c>
      <c r="AE1031">
        <f>IF(VLOOKUP(Table1[[#This Row],[sheet]],Prg!$A$7:$J$31,10,FALSE)="","",VLOOKUP(Table1[[#This Row],[sheet]],Prg!$A$7:$J$31,10,FALSE)*1)</f>
        <v>1</v>
      </c>
      <c r="AF1031" t="str">
        <f>VLOOKUP(Table1[[#This Row],[sheet]],Prg!$A$7:$J$31,5,FALSE)</f>
        <v>PALESTINE</v>
      </c>
      <c r="AG1031">
        <f>ROW()</f>
        <v>1031</v>
      </c>
    </row>
    <row r="1032" spans="24:33" hidden="1" x14ac:dyDescent="0.25">
      <c r="X1032">
        <v>6</v>
      </c>
      <c r="Y1032" t="s">
        <v>758</v>
      </c>
      <c r="Z1032" t="s">
        <v>170</v>
      </c>
      <c r="AA1032" t="str">
        <f>IF(OR(VLOOKUP(Table1[[#This Row],[sheet]],Prg!$A$7:$F$31,6,FALSE)=Prg!$O$2,VLOOKUP(Table1[[#This Row],[sheet]],Prg!$A$7:$F$31,6,FALSE)=Prg!$O$3),"Yes","No")</f>
        <v>Yes</v>
      </c>
      <c r="AB1032">
        <v>2026</v>
      </c>
      <c r="AC1032">
        <v>19</v>
      </c>
      <c r="AD1032">
        <f ca="1">IF(ISERROR(VLOOKUP(Table1[[#This Row],[item]],INDIRECT("'"&amp;Table1[[#This Row],[sheet]]&amp;"'!$A$8:$T$42"),Table1[[#This Row],[r]],FALSE)),"",VLOOKUP(Table1[[#This Row],[item]],INDIRECT("'"&amp;Table1[[#This Row],[sheet]]&amp;"'!$A$8:$T$42"),Table1[[#This Row],[r]],FALSE))</f>
        <v>0</v>
      </c>
      <c r="AE1032">
        <f>IF(VLOOKUP(Table1[[#This Row],[sheet]],Prg!$A$7:$J$31,10,FALSE)="","",VLOOKUP(Table1[[#This Row],[sheet]],Prg!$A$7:$J$31,10,FALSE)*1)</f>
        <v>1</v>
      </c>
      <c r="AF1032" t="str">
        <f>VLOOKUP(Table1[[#This Row],[sheet]],Prg!$A$7:$J$31,5,FALSE)</f>
        <v>PALESTINE</v>
      </c>
      <c r="AG1032">
        <f>ROW()</f>
        <v>1032</v>
      </c>
    </row>
    <row r="1033" spans="24:33" hidden="1" x14ac:dyDescent="0.25">
      <c r="X1033">
        <v>6</v>
      </c>
      <c r="Y1033" t="s">
        <v>759</v>
      </c>
      <c r="Z1033" t="s">
        <v>172</v>
      </c>
      <c r="AA1033" t="str">
        <f>IF(OR(VLOOKUP(Table1[[#This Row],[sheet]],Prg!$A$7:$F$31,6,FALSE)=Prg!$O$2,VLOOKUP(Table1[[#This Row],[sheet]],Prg!$A$7:$F$31,6,FALSE)=Prg!$O$3),"Yes","No")</f>
        <v>Yes</v>
      </c>
      <c r="AB1033">
        <v>2026</v>
      </c>
      <c r="AC1033">
        <v>19</v>
      </c>
      <c r="AD1033">
        <f ca="1">IF(ISERROR(VLOOKUP(Table1[[#This Row],[item]],INDIRECT("'"&amp;Table1[[#This Row],[sheet]]&amp;"'!$A$8:$T$42"),Table1[[#This Row],[r]],FALSE)),"",VLOOKUP(Table1[[#This Row],[item]],INDIRECT("'"&amp;Table1[[#This Row],[sheet]]&amp;"'!$A$8:$T$42"),Table1[[#This Row],[r]],FALSE))</f>
        <v>0</v>
      </c>
      <c r="AE1033">
        <f>IF(VLOOKUP(Table1[[#This Row],[sheet]],Prg!$A$7:$J$31,10,FALSE)="","",VLOOKUP(Table1[[#This Row],[sheet]],Prg!$A$7:$J$31,10,FALSE)*1)</f>
        <v>1</v>
      </c>
      <c r="AF1033" t="str">
        <f>VLOOKUP(Table1[[#This Row],[sheet]],Prg!$A$7:$J$31,5,FALSE)</f>
        <v>PALESTINE</v>
      </c>
      <c r="AG1033">
        <f>ROW()</f>
        <v>1033</v>
      </c>
    </row>
    <row r="1034" spans="24:33" hidden="1" x14ac:dyDescent="0.25">
      <c r="X1034">
        <v>6</v>
      </c>
      <c r="Y1034" t="s">
        <v>760</v>
      </c>
      <c r="Z1034" t="s">
        <v>174</v>
      </c>
      <c r="AA1034" t="str">
        <f>IF(OR(VLOOKUP(Table1[[#This Row],[sheet]],Prg!$A$7:$F$31,6,FALSE)=Prg!$O$2,VLOOKUP(Table1[[#This Row],[sheet]],Prg!$A$7:$F$31,6,FALSE)=Prg!$O$3),"Yes","No")</f>
        <v>Yes</v>
      </c>
      <c r="AB1034">
        <v>2026</v>
      </c>
      <c r="AC1034">
        <v>19</v>
      </c>
      <c r="AD1034">
        <f ca="1">IF(ISERROR(VLOOKUP(Table1[[#This Row],[item]],INDIRECT("'"&amp;Table1[[#This Row],[sheet]]&amp;"'!$A$8:$T$42"),Table1[[#This Row],[r]],FALSE)),"",VLOOKUP(Table1[[#This Row],[item]],INDIRECT("'"&amp;Table1[[#This Row],[sheet]]&amp;"'!$A$8:$T$42"),Table1[[#This Row],[r]],FALSE))</f>
        <v>0</v>
      </c>
      <c r="AE1034">
        <f>IF(VLOOKUP(Table1[[#This Row],[sheet]],Prg!$A$7:$J$31,10,FALSE)="","",VLOOKUP(Table1[[#This Row],[sheet]],Prg!$A$7:$J$31,10,FALSE)*1)</f>
        <v>1</v>
      </c>
      <c r="AF1034" t="str">
        <f>VLOOKUP(Table1[[#This Row],[sheet]],Prg!$A$7:$J$31,5,FALSE)</f>
        <v>PALESTINE</v>
      </c>
      <c r="AG1034">
        <f>ROW()</f>
        <v>1034</v>
      </c>
    </row>
    <row r="1035" spans="24:33" hidden="1" x14ac:dyDescent="0.25">
      <c r="X1035">
        <v>6</v>
      </c>
      <c r="Y1035" t="s">
        <v>761</v>
      </c>
      <c r="Z1035" t="s">
        <v>762</v>
      </c>
      <c r="AA1035" t="str">
        <f>IF(OR(VLOOKUP(Table1[[#This Row],[sheet]],Prg!$A$7:$F$31,6,FALSE)=Prg!$O$2,VLOOKUP(Table1[[#This Row],[sheet]],Prg!$A$7:$F$31,6,FALSE)=Prg!$O$3),"Yes","No")</f>
        <v>Yes</v>
      </c>
      <c r="AB1035">
        <v>2026</v>
      </c>
      <c r="AC1035">
        <v>19</v>
      </c>
      <c r="AD1035">
        <f ca="1">IF(ISERROR(VLOOKUP(Table1[[#This Row],[item]],INDIRECT("'"&amp;Table1[[#This Row],[sheet]]&amp;"'!$A$8:$T$42"),Table1[[#This Row],[r]],FALSE)),"",VLOOKUP(Table1[[#This Row],[item]],INDIRECT("'"&amp;Table1[[#This Row],[sheet]]&amp;"'!$A$8:$T$42"),Table1[[#This Row],[r]],FALSE))</f>
        <v>0</v>
      </c>
      <c r="AE1035">
        <f>IF(VLOOKUP(Table1[[#This Row],[sheet]],Prg!$A$7:$J$31,10,FALSE)="","",VLOOKUP(Table1[[#This Row],[sheet]],Prg!$A$7:$J$31,10,FALSE)*1)</f>
        <v>1</v>
      </c>
      <c r="AF1035" t="str">
        <f>VLOOKUP(Table1[[#This Row],[sheet]],Prg!$A$7:$J$31,5,FALSE)</f>
        <v>PALESTINE</v>
      </c>
      <c r="AG1035">
        <f>ROW()</f>
        <v>1035</v>
      </c>
    </row>
    <row r="1036" spans="24:33" hidden="1" x14ac:dyDescent="0.25">
      <c r="X1036">
        <v>6</v>
      </c>
      <c r="Y1036" t="s">
        <v>763</v>
      </c>
      <c r="Z1036" t="s">
        <v>178</v>
      </c>
      <c r="AA1036" t="str">
        <f>IF(OR(VLOOKUP(Table1[[#This Row],[sheet]],Prg!$A$7:$F$31,6,FALSE)=Prg!$O$2,VLOOKUP(Table1[[#This Row],[sheet]],Prg!$A$7:$F$31,6,FALSE)=Prg!$O$3),"Yes","No")</f>
        <v>Yes</v>
      </c>
      <c r="AB1036">
        <v>2026</v>
      </c>
      <c r="AC1036">
        <v>19</v>
      </c>
      <c r="AD1036">
        <f ca="1">IF(ISERROR(VLOOKUP(Table1[[#This Row],[item]],INDIRECT("'"&amp;Table1[[#This Row],[sheet]]&amp;"'!$A$8:$T$42"),Table1[[#This Row],[r]],FALSE)),"",VLOOKUP(Table1[[#This Row],[item]],INDIRECT("'"&amp;Table1[[#This Row],[sheet]]&amp;"'!$A$8:$T$42"),Table1[[#This Row],[r]],FALSE))</f>
        <v>163560.91999999998</v>
      </c>
      <c r="AE1036">
        <f>IF(VLOOKUP(Table1[[#This Row],[sheet]],Prg!$A$7:$J$31,10,FALSE)="","",VLOOKUP(Table1[[#This Row],[sheet]],Prg!$A$7:$J$31,10,FALSE)*1)</f>
        <v>1</v>
      </c>
      <c r="AF1036" t="str">
        <f>VLOOKUP(Table1[[#This Row],[sheet]],Prg!$A$7:$J$31,5,FALSE)</f>
        <v>PALESTINE</v>
      </c>
      <c r="AG1036">
        <f>ROW()</f>
        <v>1036</v>
      </c>
    </row>
    <row r="1037" spans="24:33" hidden="1" x14ac:dyDescent="0.25">
      <c r="X1037">
        <v>6</v>
      </c>
      <c r="Y1037" t="s">
        <v>764</v>
      </c>
      <c r="Z1037" t="s">
        <v>109</v>
      </c>
      <c r="AA1037" t="str">
        <f>IF(OR(VLOOKUP(Table1[[#This Row],[sheet]],Prg!$A$7:$F$31,6,FALSE)=Prg!$O$2,VLOOKUP(Table1[[#This Row],[sheet]],Prg!$A$7:$F$31,6,FALSE)=Prg!$O$3),"Yes","No")</f>
        <v>Yes</v>
      </c>
      <c r="AB1037">
        <v>2026</v>
      </c>
      <c r="AC1037">
        <v>19</v>
      </c>
      <c r="AD1037">
        <f ca="1">IF(ISERROR(VLOOKUP(Table1[[#This Row],[item]],INDIRECT("'"&amp;Table1[[#This Row],[sheet]]&amp;"'!$A$8:$T$42"),Table1[[#This Row],[r]],FALSE)),"",VLOOKUP(Table1[[#This Row],[item]],INDIRECT("'"&amp;Table1[[#This Row],[sheet]]&amp;"'!$A$8:$T$42"),Table1[[#This Row],[r]],FALSE))</f>
        <v>0</v>
      </c>
      <c r="AE1037">
        <f>IF(VLOOKUP(Table1[[#This Row],[sheet]],Prg!$A$7:$J$31,10,FALSE)="","",VLOOKUP(Table1[[#This Row],[sheet]],Prg!$A$7:$J$31,10,FALSE)*1)</f>
        <v>1</v>
      </c>
      <c r="AF1037" t="str">
        <f>VLOOKUP(Table1[[#This Row],[sheet]],Prg!$A$7:$J$31,5,FALSE)</f>
        <v>PALESTINE</v>
      </c>
      <c r="AG1037">
        <f>ROW()</f>
        <v>1037</v>
      </c>
    </row>
    <row r="1038" spans="24:33" hidden="1" x14ac:dyDescent="0.25">
      <c r="X1038">
        <v>6</v>
      </c>
      <c r="Y1038" t="s">
        <v>765</v>
      </c>
      <c r="Z1038" t="s">
        <v>117</v>
      </c>
      <c r="AA1038" t="str">
        <f>IF(OR(VLOOKUP(Table1[[#This Row],[sheet]],Prg!$A$7:$F$31,6,FALSE)=Prg!$O$2,VLOOKUP(Table1[[#This Row],[sheet]],Prg!$A$7:$F$31,6,FALSE)=Prg!$O$3),"Yes","No")</f>
        <v>Yes</v>
      </c>
      <c r="AB1038">
        <v>2026</v>
      </c>
      <c r="AC1038">
        <v>19</v>
      </c>
      <c r="AD1038">
        <f ca="1">IF(ISERROR(VLOOKUP(Table1[[#This Row],[item]],INDIRECT("'"&amp;Table1[[#This Row],[sheet]]&amp;"'!$A$8:$T$42"),Table1[[#This Row],[r]],FALSE)),"",VLOOKUP(Table1[[#This Row],[item]],INDIRECT("'"&amp;Table1[[#This Row],[sheet]]&amp;"'!$A$8:$T$42"),Table1[[#This Row],[r]],FALSE))</f>
        <v>15799.87</v>
      </c>
      <c r="AE1038">
        <f>IF(VLOOKUP(Table1[[#This Row],[sheet]],Prg!$A$7:$J$31,10,FALSE)="","",VLOOKUP(Table1[[#This Row],[sheet]],Prg!$A$7:$J$31,10,FALSE)*1)</f>
        <v>1</v>
      </c>
      <c r="AF1038" t="str">
        <f>VLOOKUP(Table1[[#This Row],[sheet]],Prg!$A$7:$J$31,5,FALSE)</f>
        <v>PALESTINE</v>
      </c>
      <c r="AG1038">
        <f>ROW()</f>
        <v>1038</v>
      </c>
    </row>
    <row r="1039" spans="24:33" hidden="1" x14ac:dyDescent="0.25">
      <c r="X1039">
        <v>6</v>
      </c>
      <c r="Y1039" t="s">
        <v>766</v>
      </c>
      <c r="Z1039" t="s">
        <v>767</v>
      </c>
      <c r="AA1039" t="str">
        <f>IF(OR(VLOOKUP(Table1[[#This Row],[sheet]],Prg!$A$7:$F$31,6,FALSE)=Prg!$O$2,VLOOKUP(Table1[[#This Row],[sheet]],Prg!$A$7:$F$31,6,FALSE)=Prg!$O$3),"Yes","No")</f>
        <v>Yes</v>
      </c>
      <c r="AB1039">
        <v>2026</v>
      </c>
      <c r="AC1039">
        <v>19</v>
      </c>
      <c r="AD1039">
        <f ca="1">IF(ISERROR(VLOOKUP(Table1[[#This Row],[item]],INDIRECT("'"&amp;Table1[[#This Row],[sheet]]&amp;"'!$A$8:$T$42"),Table1[[#This Row],[r]],FALSE)),"",VLOOKUP(Table1[[#This Row],[item]],INDIRECT("'"&amp;Table1[[#This Row],[sheet]]&amp;"'!$A$8:$T$42"),Table1[[#This Row],[r]],FALSE))</f>
        <v>147761.04999999999</v>
      </c>
      <c r="AE1039">
        <f>IF(VLOOKUP(Table1[[#This Row],[sheet]],Prg!$A$7:$J$31,10,FALSE)="","",VLOOKUP(Table1[[#This Row],[sheet]],Prg!$A$7:$J$31,10,FALSE)*1)</f>
        <v>1</v>
      </c>
      <c r="AF1039" t="str">
        <f>VLOOKUP(Table1[[#This Row],[sheet]],Prg!$A$7:$J$31,5,FALSE)</f>
        <v>PALESTINE</v>
      </c>
      <c r="AG1039">
        <f>ROW()</f>
        <v>1039</v>
      </c>
    </row>
    <row r="1040" spans="24:33" hidden="1" x14ac:dyDescent="0.25">
      <c r="X1040">
        <v>6</v>
      </c>
      <c r="Y1040" t="s">
        <v>768</v>
      </c>
      <c r="Z1040" t="s">
        <v>182</v>
      </c>
      <c r="AA1040" t="str">
        <f>IF(OR(VLOOKUP(Table1[[#This Row],[sheet]],Prg!$A$7:$F$31,6,FALSE)=Prg!$O$2,VLOOKUP(Table1[[#This Row],[sheet]],Prg!$A$7:$F$31,6,FALSE)=Prg!$O$3),"Yes","No")</f>
        <v>Yes</v>
      </c>
      <c r="AB1040">
        <v>2026</v>
      </c>
      <c r="AC1040">
        <v>19</v>
      </c>
      <c r="AD1040">
        <f ca="1">IF(ISERROR(VLOOKUP(Table1[[#This Row],[item]],INDIRECT("'"&amp;Table1[[#This Row],[sheet]]&amp;"'!$A$8:$T$42"),Table1[[#This Row],[r]],FALSE)),"",VLOOKUP(Table1[[#This Row],[item]],INDIRECT("'"&amp;Table1[[#This Row],[sheet]]&amp;"'!$A$8:$T$42"),Table1[[#This Row],[r]],FALSE))</f>
        <v>3000</v>
      </c>
      <c r="AE1040">
        <f>IF(VLOOKUP(Table1[[#This Row],[sheet]],Prg!$A$7:$J$31,10,FALSE)="","",VLOOKUP(Table1[[#This Row],[sheet]],Prg!$A$7:$J$31,10,FALSE)*1)</f>
        <v>1</v>
      </c>
      <c r="AF1040" t="str">
        <f>VLOOKUP(Table1[[#This Row],[sheet]],Prg!$A$7:$J$31,5,FALSE)</f>
        <v>PALESTINE</v>
      </c>
      <c r="AG1040">
        <f>ROW()</f>
        <v>1040</v>
      </c>
    </row>
    <row r="1041" spans="24:33" hidden="1" x14ac:dyDescent="0.25">
      <c r="X1041">
        <v>6</v>
      </c>
      <c r="Y1041" t="s">
        <v>769</v>
      </c>
      <c r="Z1041" t="s">
        <v>184</v>
      </c>
      <c r="AA1041" t="str">
        <f>IF(OR(VLOOKUP(Table1[[#This Row],[sheet]],Prg!$A$7:$F$31,6,FALSE)=Prg!$O$2,VLOOKUP(Table1[[#This Row],[sheet]],Prg!$A$7:$F$31,6,FALSE)=Prg!$O$3),"Yes","No")</f>
        <v>Yes</v>
      </c>
      <c r="AB1041">
        <v>2026</v>
      </c>
      <c r="AC1041">
        <v>19</v>
      </c>
      <c r="AD1041">
        <f ca="1">IF(ISERROR(VLOOKUP(Table1[[#This Row],[item]],INDIRECT("'"&amp;Table1[[#This Row],[sheet]]&amp;"'!$A$8:$T$42"),Table1[[#This Row],[r]],FALSE)),"",VLOOKUP(Table1[[#This Row],[item]],INDIRECT("'"&amp;Table1[[#This Row],[sheet]]&amp;"'!$A$8:$T$42"),Table1[[#This Row],[r]],FALSE))</f>
        <v>0</v>
      </c>
      <c r="AE1041">
        <f>IF(VLOOKUP(Table1[[#This Row],[sheet]],Prg!$A$7:$J$31,10,FALSE)="","",VLOOKUP(Table1[[#This Row],[sheet]],Prg!$A$7:$J$31,10,FALSE)*1)</f>
        <v>1</v>
      </c>
      <c r="AF1041" t="str">
        <f>VLOOKUP(Table1[[#This Row],[sheet]],Prg!$A$7:$J$31,5,FALSE)</f>
        <v>PALESTINE</v>
      </c>
      <c r="AG1041">
        <f>ROW()</f>
        <v>1041</v>
      </c>
    </row>
    <row r="1042" spans="24:33" hidden="1" x14ac:dyDescent="0.25">
      <c r="X1042">
        <v>6</v>
      </c>
      <c r="Y1042" t="s">
        <v>770</v>
      </c>
      <c r="Z1042" t="s">
        <v>186</v>
      </c>
      <c r="AA1042" t="str">
        <f>IF(OR(VLOOKUP(Table1[[#This Row],[sheet]],Prg!$A$7:$F$31,6,FALSE)=Prg!$O$2,VLOOKUP(Table1[[#This Row],[sheet]],Prg!$A$7:$F$31,6,FALSE)=Prg!$O$3),"Yes","No")</f>
        <v>Yes</v>
      </c>
      <c r="AB1042">
        <v>2026</v>
      </c>
      <c r="AC1042">
        <v>19</v>
      </c>
      <c r="AD1042">
        <f ca="1">IF(ISERROR(VLOOKUP(Table1[[#This Row],[item]],INDIRECT("'"&amp;Table1[[#This Row],[sheet]]&amp;"'!$A$8:$T$42"),Table1[[#This Row],[r]],FALSE)),"",VLOOKUP(Table1[[#This Row],[item]],INDIRECT("'"&amp;Table1[[#This Row],[sheet]]&amp;"'!$A$8:$T$42"),Table1[[#This Row],[r]],FALSE))</f>
        <v>3000</v>
      </c>
      <c r="AE1042">
        <f>IF(VLOOKUP(Table1[[#This Row],[sheet]],Prg!$A$7:$J$31,10,FALSE)="","",VLOOKUP(Table1[[#This Row],[sheet]],Prg!$A$7:$J$31,10,FALSE)*1)</f>
        <v>1</v>
      </c>
      <c r="AF1042" t="str">
        <f>VLOOKUP(Table1[[#This Row],[sheet]],Prg!$A$7:$J$31,5,FALSE)</f>
        <v>PALESTINE</v>
      </c>
      <c r="AG1042">
        <f>ROW()</f>
        <v>1042</v>
      </c>
    </row>
    <row r="1043" spans="24:33" hidden="1" x14ac:dyDescent="0.25">
      <c r="X1043">
        <v>6</v>
      </c>
      <c r="Y1043" t="s">
        <v>771</v>
      </c>
      <c r="Z1043" t="s">
        <v>772</v>
      </c>
      <c r="AA1043" t="str">
        <f>IF(OR(VLOOKUP(Table1[[#This Row],[sheet]],Prg!$A$7:$F$31,6,FALSE)=Prg!$O$2,VLOOKUP(Table1[[#This Row],[sheet]],Prg!$A$7:$F$31,6,FALSE)=Prg!$O$3),"Yes","No")</f>
        <v>Yes</v>
      </c>
      <c r="AB1043">
        <v>2026</v>
      </c>
      <c r="AC1043">
        <v>19</v>
      </c>
      <c r="AD1043">
        <f ca="1">IF(ISERROR(VLOOKUP(Table1[[#This Row],[item]],INDIRECT("'"&amp;Table1[[#This Row],[sheet]]&amp;"'!$A$8:$T$42"),Table1[[#This Row],[r]],FALSE)),"",VLOOKUP(Table1[[#This Row],[item]],INDIRECT("'"&amp;Table1[[#This Row],[sheet]]&amp;"'!$A$8:$T$42"),Table1[[#This Row],[r]],FALSE))</f>
        <v>0</v>
      </c>
      <c r="AE1043">
        <f>IF(VLOOKUP(Table1[[#This Row],[sheet]],Prg!$A$7:$J$31,10,FALSE)="","",VLOOKUP(Table1[[#This Row],[sheet]],Prg!$A$7:$J$31,10,FALSE)*1)</f>
        <v>1</v>
      </c>
      <c r="AF1043" t="str">
        <f>VLOOKUP(Table1[[#This Row],[sheet]],Prg!$A$7:$J$31,5,FALSE)</f>
        <v>PALESTINE</v>
      </c>
      <c r="AG1043">
        <f>ROW()</f>
        <v>1043</v>
      </c>
    </row>
    <row r="1044" spans="24:33" hidden="1" x14ac:dyDescent="0.25">
      <c r="X1044">
        <v>6</v>
      </c>
      <c r="Y1044" t="s">
        <v>773</v>
      </c>
      <c r="Z1044" t="s">
        <v>190</v>
      </c>
      <c r="AA1044" t="str">
        <f>IF(OR(VLOOKUP(Table1[[#This Row],[sheet]],Prg!$A$7:$F$31,6,FALSE)=Prg!$O$2,VLOOKUP(Table1[[#This Row],[sheet]],Prg!$A$7:$F$31,6,FALSE)=Prg!$O$3),"Yes","No")</f>
        <v>Yes</v>
      </c>
      <c r="AB1044">
        <v>2026</v>
      </c>
      <c r="AC1044">
        <v>19</v>
      </c>
      <c r="AD1044">
        <f ca="1">IF(ISERROR(VLOOKUP(Table1[[#This Row],[item]],INDIRECT("'"&amp;Table1[[#This Row],[sheet]]&amp;"'!$A$8:$T$42"),Table1[[#This Row],[r]],FALSE)),"",VLOOKUP(Table1[[#This Row],[item]],INDIRECT("'"&amp;Table1[[#This Row],[sheet]]&amp;"'!$A$8:$T$42"),Table1[[#This Row],[r]],FALSE))</f>
        <v>517874.0453503764</v>
      </c>
      <c r="AE1044">
        <f>IF(VLOOKUP(Table1[[#This Row],[sheet]],Prg!$A$7:$J$31,10,FALSE)="","",VLOOKUP(Table1[[#This Row],[sheet]],Prg!$A$7:$J$31,10,FALSE)*1)</f>
        <v>1</v>
      </c>
      <c r="AF1044" t="str">
        <f>VLOOKUP(Table1[[#This Row],[sheet]],Prg!$A$7:$J$31,5,FALSE)</f>
        <v>PALESTINE</v>
      </c>
      <c r="AG1044">
        <f>ROW()</f>
        <v>1044</v>
      </c>
    </row>
    <row r="1045" spans="24:33" hidden="1" x14ac:dyDescent="0.25">
      <c r="X1045">
        <v>6</v>
      </c>
      <c r="Y1045" t="s">
        <v>709</v>
      </c>
      <c r="Z1045" t="s">
        <v>192</v>
      </c>
      <c r="AA1045" t="str">
        <f>IF(OR(VLOOKUP(Table1[[#This Row],[sheet]],Prg!$A$7:$F$31,6,FALSE)=Prg!$O$2,VLOOKUP(Table1[[#This Row],[sheet]],Prg!$A$7:$F$31,6,FALSE)=Prg!$O$3),"Yes","No")</f>
        <v>Yes</v>
      </c>
      <c r="AB1045">
        <v>2026</v>
      </c>
      <c r="AC1045">
        <v>19</v>
      </c>
      <c r="AD1045">
        <f ca="1">IF(ISERROR(VLOOKUP(Table1[[#This Row],[item]],INDIRECT("'"&amp;Table1[[#This Row],[sheet]]&amp;"'!$A$8:$T$42"),Table1[[#This Row],[r]],FALSE)),"",VLOOKUP(Table1[[#This Row],[item]],INDIRECT("'"&amp;Table1[[#This Row],[sheet]]&amp;"'!$A$8:$T$42"),Table1[[#This Row],[r]],FALSE))</f>
        <v>0</v>
      </c>
      <c r="AE1045">
        <f>IF(VLOOKUP(Table1[[#This Row],[sheet]],Prg!$A$7:$J$31,10,FALSE)="","",VLOOKUP(Table1[[#This Row],[sheet]],Prg!$A$7:$J$31,10,FALSE)*1)</f>
        <v>1</v>
      </c>
      <c r="AF1045" t="str">
        <f>VLOOKUP(Table1[[#This Row],[sheet]],Prg!$A$7:$J$31,5,FALSE)</f>
        <v>PALESTINE</v>
      </c>
      <c r="AG1045">
        <f>ROW()</f>
        <v>1045</v>
      </c>
    </row>
    <row r="1046" spans="24:33" hidden="1" x14ac:dyDescent="0.25">
      <c r="X1046">
        <v>6</v>
      </c>
      <c r="Y1046" t="s">
        <v>774</v>
      </c>
      <c r="Z1046" t="s">
        <v>194</v>
      </c>
      <c r="AA1046" t="str">
        <f>IF(OR(VLOOKUP(Table1[[#This Row],[sheet]],Prg!$A$7:$F$31,6,FALSE)=Prg!$O$2,VLOOKUP(Table1[[#This Row],[sheet]],Prg!$A$7:$F$31,6,FALSE)=Prg!$O$3),"Yes","No")</f>
        <v>Yes</v>
      </c>
      <c r="AB1046">
        <v>2026</v>
      </c>
      <c r="AC1046">
        <v>19</v>
      </c>
      <c r="AD1046">
        <f ca="1">IF(ISERROR(VLOOKUP(Table1[[#This Row],[item]],INDIRECT("'"&amp;Table1[[#This Row],[sheet]]&amp;"'!$A$8:$T$42"),Table1[[#This Row],[r]],FALSE)),"",VLOOKUP(Table1[[#This Row],[item]],INDIRECT("'"&amp;Table1[[#This Row],[sheet]]&amp;"'!$A$8:$T$42"),Table1[[#This Row],[r]],FALSE))</f>
        <v>0</v>
      </c>
      <c r="AE1046">
        <f>IF(VLOOKUP(Table1[[#This Row],[sheet]],Prg!$A$7:$J$31,10,FALSE)="","",VLOOKUP(Table1[[#This Row],[sheet]],Prg!$A$7:$J$31,10,FALSE)*1)</f>
        <v>1</v>
      </c>
      <c r="AF1046" t="str">
        <f>VLOOKUP(Table1[[#This Row],[sheet]],Prg!$A$7:$J$31,5,FALSE)</f>
        <v>PALESTINE</v>
      </c>
      <c r="AG1046">
        <f>ROW()</f>
        <v>1046</v>
      </c>
    </row>
    <row r="1047" spans="24:33" hidden="1" x14ac:dyDescent="0.25">
      <c r="X1047">
        <v>6</v>
      </c>
      <c r="Y1047" t="s">
        <v>775</v>
      </c>
      <c r="Z1047" t="s">
        <v>196</v>
      </c>
      <c r="AA1047" t="str">
        <f>IF(OR(VLOOKUP(Table1[[#This Row],[sheet]],Prg!$A$7:$F$31,6,FALSE)=Prg!$O$2,VLOOKUP(Table1[[#This Row],[sheet]],Prg!$A$7:$F$31,6,FALSE)=Prg!$O$3),"Yes","No")</f>
        <v>Yes</v>
      </c>
      <c r="AB1047">
        <v>2026</v>
      </c>
      <c r="AC1047">
        <v>19</v>
      </c>
      <c r="AD1047">
        <f ca="1">IF(ISERROR(VLOOKUP(Table1[[#This Row],[item]],INDIRECT("'"&amp;Table1[[#This Row],[sheet]]&amp;"'!$A$8:$T$42"),Table1[[#This Row],[r]],FALSE)),"",VLOOKUP(Table1[[#This Row],[item]],INDIRECT("'"&amp;Table1[[#This Row],[sheet]]&amp;"'!$A$8:$T$42"),Table1[[#This Row],[r]],FALSE))</f>
        <v>0</v>
      </c>
      <c r="AE1047">
        <f>IF(VLOOKUP(Table1[[#This Row],[sheet]],Prg!$A$7:$J$31,10,FALSE)="","",VLOOKUP(Table1[[#This Row],[sheet]],Prg!$A$7:$J$31,10,FALSE)*1)</f>
        <v>1</v>
      </c>
      <c r="AF1047" t="str">
        <f>VLOOKUP(Table1[[#This Row],[sheet]],Prg!$A$7:$J$31,5,FALSE)</f>
        <v>PALESTINE</v>
      </c>
      <c r="AG1047">
        <f>ROW()</f>
        <v>1047</v>
      </c>
    </row>
    <row r="1048" spans="24:33" hidden="1" x14ac:dyDescent="0.25">
      <c r="X1048">
        <v>6</v>
      </c>
      <c r="Y1048" t="s">
        <v>776</v>
      </c>
      <c r="Z1048" t="s">
        <v>605</v>
      </c>
      <c r="AA1048" t="str">
        <f>IF(OR(VLOOKUP(Table1[[#This Row],[sheet]],Prg!$A$7:$F$31,6,FALSE)=Prg!$O$2,VLOOKUP(Table1[[#This Row],[sheet]],Prg!$A$7:$F$31,6,FALSE)=Prg!$O$3),"Yes","No")</f>
        <v>Yes</v>
      </c>
      <c r="AB1048">
        <v>2026</v>
      </c>
      <c r="AC1048">
        <v>19</v>
      </c>
      <c r="AD1048">
        <f ca="1">IF(ISERROR(VLOOKUP(Table1[[#This Row],[item]],INDIRECT("'"&amp;Table1[[#This Row],[sheet]]&amp;"'!$A$8:$T$42"),Table1[[#This Row],[r]],FALSE)),"",VLOOKUP(Table1[[#This Row],[item]],INDIRECT("'"&amp;Table1[[#This Row],[sheet]]&amp;"'!$A$8:$T$42"),Table1[[#This Row],[r]],FALSE))</f>
        <v>0</v>
      </c>
      <c r="AE1048">
        <f>IF(VLOOKUP(Table1[[#This Row],[sheet]],Prg!$A$7:$J$31,10,FALSE)="","",VLOOKUP(Table1[[#This Row],[sheet]],Prg!$A$7:$J$31,10,FALSE)*1)</f>
        <v>1</v>
      </c>
      <c r="AF1048" t="str">
        <f>VLOOKUP(Table1[[#This Row],[sheet]],Prg!$A$7:$J$31,5,FALSE)</f>
        <v>PALESTINE</v>
      </c>
      <c r="AG1048">
        <f>ROW()</f>
        <v>1048</v>
      </c>
    </row>
    <row r="1049" spans="24:33" hidden="1" x14ac:dyDescent="0.25">
      <c r="X1049">
        <v>6</v>
      </c>
      <c r="Y1049" t="s">
        <v>711</v>
      </c>
      <c r="Z1049" t="s">
        <v>200</v>
      </c>
      <c r="AA1049" t="str">
        <f>IF(OR(VLOOKUP(Table1[[#This Row],[sheet]],Prg!$A$7:$F$31,6,FALSE)=Prg!$O$2,VLOOKUP(Table1[[#This Row],[sheet]],Prg!$A$7:$F$31,6,FALSE)=Prg!$O$3),"Yes","No")</f>
        <v>Yes</v>
      </c>
      <c r="AB1049">
        <v>2026</v>
      </c>
      <c r="AC1049">
        <v>19</v>
      </c>
      <c r="AD1049">
        <f ca="1">IF(ISERROR(VLOOKUP(Table1[[#This Row],[item]],INDIRECT("'"&amp;Table1[[#This Row],[sheet]]&amp;"'!$A$8:$T$42"),Table1[[#This Row],[r]],FALSE)),"",VLOOKUP(Table1[[#This Row],[item]],INDIRECT("'"&amp;Table1[[#This Row],[sheet]]&amp;"'!$A$8:$T$42"),Table1[[#This Row],[r]],FALSE))</f>
        <v>260089.25535037636</v>
      </c>
      <c r="AE1049">
        <f>IF(VLOOKUP(Table1[[#This Row],[sheet]],Prg!$A$7:$J$31,10,FALSE)="","",VLOOKUP(Table1[[#This Row],[sheet]],Prg!$A$7:$J$31,10,FALSE)*1)</f>
        <v>1</v>
      </c>
      <c r="AF1049" t="str">
        <f>VLOOKUP(Table1[[#This Row],[sheet]],Prg!$A$7:$J$31,5,FALSE)</f>
        <v>PALESTINE</v>
      </c>
      <c r="AG1049">
        <f>ROW()</f>
        <v>1049</v>
      </c>
    </row>
    <row r="1050" spans="24:33" hidden="1" x14ac:dyDescent="0.25">
      <c r="X1050">
        <v>6</v>
      </c>
      <c r="Y1050" t="s">
        <v>777</v>
      </c>
      <c r="Z1050" t="s">
        <v>202</v>
      </c>
      <c r="AA1050" t="str">
        <f>IF(OR(VLOOKUP(Table1[[#This Row],[sheet]],Prg!$A$7:$F$31,6,FALSE)=Prg!$O$2,VLOOKUP(Table1[[#This Row],[sheet]],Prg!$A$7:$F$31,6,FALSE)=Prg!$O$3),"Yes","No")</f>
        <v>Yes</v>
      </c>
      <c r="AB1050">
        <v>2026</v>
      </c>
      <c r="AC1050">
        <v>19</v>
      </c>
      <c r="AD1050">
        <f ca="1">IF(ISERROR(VLOOKUP(Table1[[#This Row],[item]],INDIRECT("'"&amp;Table1[[#This Row],[sheet]]&amp;"'!$A$8:$T$42"),Table1[[#This Row],[r]],FALSE)),"",VLOOKUP(Table1[[#This Row],[item]],INDIRECT("'"&amp;Table1[[#This Row],[sheet]]&amp;"'!$A$8:$T$42"),Table1[[#This Row],[r]],FALSE))</f>
        <v>14960</v>
      </c>
      <c r="AE1050">
        <f>IF(VLOOKUP(Table1[[#This Row],[sheet]],Prg!$A$7:$J$31,10,FALSE)="","",VLOOKUP(Table1[[#This Row],[sheet]],Prg!$A$7:$J$31,10,FALSE)*1)</f>
        <v>1</v>
      </c>
      <c r="AF1050" t="str">
        <f>VLOOKUP(Table1[[#This Row],[sheet]],Prg!$A$7:$J$31,5,FALSE)</f>
        <v>PALESTINE</v>
      </c>
      <c r="AG1050">
        <f>ROW()</f>
        <v>1050</v>
      </c>
    </row>
    <row r="1051" spans="24:33" hidden="1" x14ac:dyDescent="0.25">
      <c r="X1051">
        <v>6</v>
      </c>
      <c r="Y1051" t="s">
        <v>778</v>
      </c>
      <c r="Z1051" t="s">
        <v>204</v>
      </c>
      <c r="AA1051" t="str">
        <f>IF(OR(VLOOKUP(Table1[[#This Row],[sheet]],Prg!$A$7:$F$31,6,FALSE)=Prg!$O$2,VLOOKUP(Table1[[#This Row],[sheet]],Prg!$A$7:$F$31,6,FALSE)=Prg!$O$3),"Yes","No")</f>
        <v>Yes</v>
      </c>
      <c r="AB1051">
        <v>2026</v>
      </c>
      <c r="AC1051">
        <v>19</v>
      </c>
      <c r="AD1051">
        <f ca="1">IF(ISERROR(VLOOKUP(Table1[[#This Row],[item]],INDIRECT("'"&amp;Table1[[#This Row],[sheet]]&amp;"'!$A$8:$T$42"),Table1[[#This Row],[r]],FALSE)),"",VLOOKUP(Table1[[#This Row],[item]],INDIRECT("'"&amp;Table1[[#This Row],[sheet]]&amp;"'!$A$8:$T$42"),Table1[[#This Row],[r]],FALSE))</f>
        <v>27914.87</v>
      </c>
      <c r="AE1051">
        <f>IF(VLOOKUP(Table1[[#This Row],[sheet]],Prg!$A$7:$J$31,10,FALSE)="","",VLOOKUP(Table1[[#This Row],[sheet]],Prg!$A$7:$J$31,10,FALSE)*1)</f>
        <v>1</v>
      </c>
      <c r="AF1051" t="str">
        <f>VLOOKUP(Table1[[#This Row],[sheet]],Prg!$A$7:$J$31,5,FALSE)</f>
        <v>PALESTINE</v>
      </c>
      <c r="AG1051">
        <f>ROW()</f>
        <v>1051</v>
      </c>
    </row>
    <row r="1052" spans="24:33" hidden="1" x14ac:dyDescent="0.25">
      <c r="X1052">
        <v>6</v>
      </c>
      <c r="Y1052" t="s">
        <v>779</v>
      </c>
      <c r="Z1052" t="s">
        <v>605</v>
      </c>
      <c r="AA1052" t="str">
        <f>IF(OR(VLOOKUP(Table1[[#This Row],[sheet]],Prg!$A$7:$F$31,6,FALSE)=Prg!$O$2,VLOOKUP(Table1[[#This Row],[sheet]],Prg!$A$7:$F$31,6,FALSE)=Prg!$O$3),"Yes","No")</f>
        <v>Yes</v>
      </c>
      <c r="AB1052">
        <v>2026</v>
      </c>
      <c r="AC1052">
        <v>19</v>
      </c>
      <c r="AD1052">
        <f ca="1">IF(ISERROR(VLOOKUP(Table1[[#This Row],[item]],INDIRECT("'"&amp;Table1[[#This Row],[sheet]]&amp;"'!$A$8:$T$42"),Table1[[#This Row],[r]],FALSE)),"",VLOOKUP(Table1[[#This Row],[item]],INDIRECT("'"&amp;Table1[[#This Row],[sheet]]&amp;"'!$A$8:$T$42"),Table1[[#This Row],[r]],FALSE))</f>
        <v>217214.38535037637</v>
      </c>
      <c r="AE1052">
        <f>IF(VLOOKUP(Table1[[#This Row],[sheet]],Prg!$A$7:$J$31,10,FALSE)="","",VLOOKUP(Table1[[#This Row],[sheet]],Prg!$A$7:$J$31,10,FALSE)*1)</f>
        <v>1</v>
      </c>
      <c r="AF1052" t="str">
        <f>VLOOKUP(Table1[[#This Row],[sheet]],Prg!$A$7:$J$31,5,FALSE)</f>
        <v>PALESTINE</v>
      </c>
      <c r="AG1052">
        <f>ROW()</f>
        <v>1052</v>
      </c>
    </row>
    <row r="1053" spans="24:33" hidden="1" x14ac:dyDescent="0.25">
      <c r="X1053">
        <v>6</v>
      </c>
      <c r="Y1053" t="s">
        <v>712</v>
      </c>
      <c r="Z1053" t="s">
        <v>780</v>
      </c>
      <c r="AA1053" t="str">
        <f>IF(OR(VLOOKUP(Table1[[#This Row],[sheet]],Prg!$A$7:$F$31,6,FALSE)=Prg!$O$2,VLOOKUP(Table1[[#This Row],[sheet]],Prg!$A$7:$F$31,6,FALSE)=Prg!$O$3),"Yes","No")</f>
        <v>Yes</v>
      </c>
      <c r="AB1053">
        <v>2026</v>
      </c>
      <c r="AC1053">
        <v>19</v>
      </c>
      <c r="AD1053">
        <f ca="1">IF(ISERROR(VLOOKUP(Table1[[#This Row],[item]],INDIRECT("'"&amp;Table1[[#This Row],[sheet]]&amp;"'!$A$8:$T$42"),Table1[[#This Row],[r]],FALSE)),"",VLOOKUP(Table1[[#This Row],[item]],INDIRECT("'"&amp;Table1[[#This Row],[sheet]]&amp;"'!$A$8:$T$42"),Table1[[#This Row],[r]],FALSE))</f>
        <v>257784.79</v>
      </c>
      <c r="AE1053">
        <f>IF(VLOOKUP(Table1[[#This Row],[sheet]],Prg!$A$7:$J$31,10,FALSE)="","",VLOOKUP(Table1[[#This Row],[sheet]],Prg!$A$7:$J$31,10,FALSE)*1)</f>
        <v>1</v>
      </c>
      <c r="AF1053" t="str">
        <f>VLOOKUP(Table1[[#This Row],[sheet]],Prg!$A$7:$J$31,5,FALSE)</f>
        <v>PALESTINE</v>
      </c>
      <c r="AG1053">
        <f>ROW()</f>
        <v>1053</v>
      </c>
    </row>
    <row r="1054" spans="24:33" hidden="1" x14ac:dyDescent="0.25">
      <c r="X1054">
        <v>6</v>
      </c>
      <c r="Y1054" t="s">
        <v>781</v>
      </c>
      <c r="Z1054" t="s">
        <v>782</v>
      </c>
      <c r="AA1054" t="str">
        <f>IF(OR(VLOOKUP(Table1[[#This Row],[sheet]],Prg!$A$7:$F$31,6,FALSE)=Prg!$O$2,VLOOKUP(Table1[[#This Row],[sheet]],Prg!$A$7:$F$31,6,FALSE)=Prg!$O$3),"Yes","No")</f>
        <v>Yes</v>
      </c>
      <c r="AB1054">
        <v>2026</v>
      </c>
      <c r="AC1054">
        <v>19</v>
      </c>
      <c r="AD1054">
        <f ca="1">IF(ISERROR(VLOOKUP(Table1[[#This Row],[item]],INDIRECT("'"&amp;Table1[[#This Row],[sheet]]&amp;"'!$A$8:$T$42"),Table1[[#This Row],[r]],FALSE)),"",VLOOKUP(Table1[[#This Row],[item]],INDIRECT("'"&amp;Table1[[#This Row],[sheet]]&amp;"'!$A$8:$T$42"),Table1[[#This Row],[r]],FALSE))</f>
        <v>0</v>
      </c>
      <c r="AE1054">
        <f>IF(VLOOKUP(Table1[[#This Row],[sheet]],Prg!$A$7:$J$31,10,FALSE)="","",VLOOKUP(Table1[[#This Row],[sheet]],Prg!$A$7:$J$31,10,FALSE)*1)</f>
        <v>1</v>
      </c>
      <c r="AF1054" t="str">
        <f>VLOOKUP(Table1[[#This Row],[sheet]],Prg!$A$7:$J$31,5,FALSE)</f>
        <v>PALESTINE</v>
      </c>
      <c r="AG1054">
        <f>ROW()</f>
        <v>1054</v>
      </c>
    </row>
    <row r="1055" spans="24:33" hidden="1" x14ac:dyDescent="0.25">
      <c r="X1055">
        <v>6</v>
      </c>
      <c r="Y1055" t="s">
        <v>783</v>
      </c>
      <c r="Z1055" t="s">
        <v>784</v>
      </c>
      <c r="AA1055" t="str">
        <f>IF(OR(VLOOKUP(Table1[[#This Row],[sheet]],Prg!$A$7:$F$31,6,FALSE)=Prg!$O$2,VLOOKUP(Table1[[#This Row],[sheet]],Prg!$A$7:$F$31,6,FALSE)=Prg!$O$3),"Yes","No")</f>
        <v>Yes</v>
      </c>
      <c r="AB1055">
        <v>2026</v>
      </c>
      <c r="AC1055">
        <v>19</v>
      </c>
      <c r="AD1055">
        <f ca="1">IF(ISERROR(VLOOKUP(Table1[[#This Row],[item]],INDIRECT("'"&amp;Table1[[#This Row],[sheet]]&amp;"'!$A$8:$T$42"),Table1[[#This Row],[r]],FALSE)),"",VLOOKUP(Table1[[#This Row],[item]],INDIRECT("'"&amp;Table1[[#This Row],[sheet]]&amp;"'!$A$8:$T$42"),Table1[[#This Row],[r]],FALSE))</f>
        <v>0</v>
      </c>
      <c r="AE1055">
        <f>IF(VLOOKUP(Table1[[#This Row],[sheet]],Prg!$A$7:$J$31,10,FALSE)="","",VLOOKUP(Table1[[#This Row],[sheet]],Prg!$A$7:$J$31,10,FALSE)*1)</f>
        <v>1</v>
      </c>
      <c r="AF1055" t="str">
        <f>VLOOKUP(Table1[[#This Row],[sheet]],Prg!$A$7:$J$31,5,FALSE)</f>
        <v>PALESTINE</v>
      </c>
      <c r="AG1055">
        <f>ROW()</f>
        <v>1055</v>
      </c>
    </row>
    <row r="1056" spans="24:33" hidden="1" x14ac:dyDescent="0.25">
      <c r="X1056">
        <v>6</v>
      </c>
      <c r="Y1056" t="s">
        <v>785</v>
      </c>
      <c r="Z1056" t="s">
        <v>786</v>
      </c>
      <c r="AA1056" t="str">
        <f>IF(OR(VLOOKUP(Table1[[#This Row],[sheet]],Prg!$A$7:$F$31,6,FALSE)=Prg!$O$2,VLOOKUP(Table1[[#This Row],[sheet]],Prg!$A$7:$F$31,6,FALSE)=Prg!$O$3),"Yes","No")</f>
        <v>Yes</v>
      </c>
      <c r="AB1056">
        <v>2026</v>
      </c>
      <c r="AC1056">
        <v>19</v>
      </c>
      <c r="AD1056">
        <f ca="1">IF(ISERROR(VLOOKUP(Table1[[#This Row],[item]],INDIRECT("'"&amp;Table1[[#This Row],[sheet]]&amp;"'!$A$8:$T$42"),Table1[[#This Row],[r]],FALSE)),"",VLOOKUP(Table1[[#This Row],[item]],INDIRECT("'"&amp;Table1[[#This Row],[sheet]]&amp;"'!$A$8:$T$42"),Table1[[#This Row],[r]],FALSE))</f>
        <v>257784.79</v>
      </c>
      <c r="AE1056">
        <f>IF(VLOOKUP(Table1[[#This Row],[sheet]],Prg!$A$7:$J$31,10,FALSE)="","",VLOOKUP(Table1[[#This Row],[sheet]],Prg!$A$7:$J$31,10,FALSE)*1)</f>
        <v>1</v>
      </c>
      <c r="AF1056" t="str">
        <f>VLOOKUP(Table1[[#This Row],[sheet]],Prg!$A$7:$J$31,5,FALSE)</f>
        <v>PALESTINE</v>
      </c>
      <c r="AG1056">
        <f>ROW()</f>
        <v>1056</v>
      </c>
    </row>
    <row r="1057" spans="24:33" hidden="1" x14ac:dyDescent="0.25">
      <c r="X1057">
        <v>6</v>
      </c>
      <c r="Y1057" t="s">
        <v>787</v>
      </c>
      <c r="Z1057" t="s">
        <v>633</v>
      </c>
      <c r="AA1057" t="str">
        <f>IF(OR(VLOOKUP(Table1[[#This Row],[sheet]],Prg!$A$7:$F$31,6,FALSE)=Prg!$O$2,VLOOKUP(Table1[[#This Row],[sheet]],Prg!$A$7:$F$31,6,FALSE)=Prg!$O$3),"Yes","No")</f>
        <v>Yes</v>
      </c>
      <c r="AB1057">
        <v>2026</v>
      </c>
      <c r="AC1057">
        <v>19</v>
      </c>
      <c r="AD1057">
        <f ca="1">IF(ISERROR(VLOOKUP(Table1[[#This Row],[item]],INDIRECT("'"&amp;Table1[[#This Row],[sheet]]&amp;"'!$A$8:$T$42"),Table1[[#This Row],[r]],FALSE)),"",VLOOKUP(Table1[[#This Row],[item]],INDIRECT("'"&amp;Table1[[#This Row],[sheet]]&amp;"'!$A$8:$T$42"),Table1[[#This Row],[r]],FALSE))</f>
        <v>0</v>
      </c>
      <c r="AE1057">
        <f>IF(VLOOKUP(Table1[[#This Row],[sheet]],Prg!$A$7:$J$31,10,FALSE)="","",VLOOKUP(Table1[[#This Row],[sheet]],Prg!$A$7:$J$31,10,FALSE)*1)</f>
        <v>1</v>
      </c>
      <c r="AF1057" t="str">
        <f>VLOOKUP(Table1[[#This Row],[sheet]],Prg!$A$7:$J$31,5,FALSE)</f>
        <v>PALESTINE</v>
      </c>
      <c r="AG1057">
        <f>ROW()</f>
        <v>1057</v>
      </c>
    </row>
    <row r="1058" spans="24:33" hidden="1" x14ac:dyDescent="0.25">
      <c r="X1058">
        <v>6</v>
      </c>
      <c r="Y1058" t="s">
        <v>753</v>
      </c>
      <c r="Z1058" t="s">
        <v>162</v>
      </c>
      <c r="AA1058" t="str">
        <f>IF(OR(VLOOKUP(Table1[[#This Row],[sheet]],Prg!$A$7:$F$31,6,FALSE)=Prg!$O$2,VLOOKUP(Table1[[#This Row],[sheet]],Prg!$A$7:$F$31,6,FALSE)=Prg!$O$3),"Yes","No")</f>
        <v>Yes</v>
      </c>
      <c r="AB1058" t="s">
        <v>78</v>
      </c>
      <c r="AC1058">
        <v>20</v>
      </c>
      <c r="AD1058">
        <f ca="1">IF(ISERROR(VLOOKUP(Table1[[#This Row],[item]],INDIRECT("'"&amp;Table1[[#This Row],[sheet]]&amp;"'!$A$8:$T$42"),Table1[[#This Row],[r]],FALSE)),"",VLOOKUP(Table1[[#This Row],[item]],INDIRECT("'"&amp;Table1[[#This Row],[sheet]]&amp;"'!$A$8:$T$42"),Table1[[#This Row],[r]],FALSE))</f>
        <v>2100228.3738436103</v>
      </c>
      <c r="AE1058">
        <f>IF(VLOOKUP(Table1[[#This Row],[sheet]],Prg!$A$7:$J$31,10,FALSE)="","",VLOOKUP(Table1[[#This Row],[sheet]],Prg!$A$7:$J$31,10,FALSE)*1)</f>
        <v>1</v>
      </c>
      <c r="AF1058" t="str">
        <f>VLOOKUP(Table1[[#This Row],[sheet]],Prg!$A$7:$J$31,5,FALSE)</f>
        <v>PALESTINE</v>
      </c>
      <c r="AG1058">
        <f>ROW()</f>
        <v>1058</v>
      </c>
    </row>
    <row r="1059" spans="24:33" hidden="1" x14ac:dyDescent="0.25">
      <c r="X1059">
        <v>6</v>
      </c>
      <c r="Y1059" t="s">
        <v>754</v>
      </c>
      <c r="Z1059" t="s">
        <v>164</v>
      </c>
      <c r="AA1059" t="str">
        <f>IF(OR(VLOOKUP(Table1[[#This Row],[sheet]],Prg!$A$7:$F$31,6,FALSE)=Prg!$O$2,VLOOKUP(Table1[[#This Row],[sheet]],Prg!$A$7:$F$31,6,FALSE)=Prg!$O$3),"Yes","No")</f>
        <v>Yes</v>
      </c>
      <c r="AB1059" t="s">
        <v>78</v>
      </c>
      <c r="AC1059">
        <v>20</v>
      </c>
      <c r="AD1059">
        <f ca="1">IF(ISERROR(VLOOKUP(Table1[[#This Row],[item]],INDIRECT("'"&amp;Table1[[#This Row],[sheet]]&amp;"'!$A$8:$T$42"),Table1[[#This Row],[r]],FALSE)),"",VLOOKUP(Table1[[#This Row],[item]],INDIRECT("'"&amp;Table1[[#This Row],[sheet]]&amp;"'!$A$8:$T$42"),Table1[[#This Row],[r]],FALSE))</f>
        <v>2700</v>
      </c>
      <c r="AE1059">
        <f>IF(VLOOKUP(Table1[[#This Row],[sheet]],Prg!$A$7:$J$31,10,FALSE)="","",VLOOKUP(Table1[[#This Row],[sheet]],Prg!$A$7:$J$31,10,FALSE)*1)</f>
        <v>1</v>
      </c>
      <c r="AF1059" t="str">
        <f>VLOOKUP(Table1[[#This Row],[sheet]],Prg!$A$7:$J$31,5,FALSE)</f>
        <v>PALESTINE</v>
      </c>
      <c r="AG1059">
        <f>ROW()</f>
        <v>1059</v>
      </c>
    </row>
    <row r="1060" spans="24:33" hidden="1" x14ac:dyDescent="0.25">
      <c r="X1060">
        <v>6</v>
      </c>
      <c r="Y1060" t="s">
        <v>755</v>
      </c>
      <c r="Z1060" t="s">
        <v>166</v>
      </c>
      <c r="AA1060" t="str">
        <f>IF(OR(VLOOKUP(Table1[[#This Row],[sheet]],Prg!$A$7:$F$31,6,FALSE)=Prg!$O$2,VLOOKUP(Table1[[#This Row],[sheet]],Prg!$A$7:$F$31,6,FALSE)=Prg!$O$3),"Yes","No")</f>
        <v>Yes</v>
      </c>
      <c r="AB1060" t="s">
        <v>78</v>
      </c>
      <c r="AC1060">
        <v>20</v>
      </c>
      <c r="AD1060">
        <f ca="1">IF(ISERROR(VLOOKUP(Table1[[#This Row],[item]],INDIRECT("'"&amp;Table1[[#This Row],[sheet]]&amp;"'!$A$8:$T$42"),Table1[[#This Row],[r]],FALSE)),"",VLOOKUP(Table1[[#This Row],[item]],INDIRECT("'"&amp;Table1[[#This Row],[sheet]]&amp;"'!$A$8:$T$42"),Table1[[#This Row],[r]],FALSE))</f>
        <v>1574915.6138436105</v>
      </c>
      <c r="AE1060">
        <f>IF(VLOOKUP(Table1[[#This Row],[sheet]],Prg!$A$7:$J$31,10,FALSE)="","",VLOOKUP(Table1[[#This Row],[sheet]],Prg!$A$7:$J$31,10,FALSE)*1)</f>
        <v>1</v>
      </c>
      <c r="AF1060" t="str">
        <f>VLOOKUP(Table1[[#This Row],[sheet]],Prg!$A$7:$J$31,5,FALSE)</f>
        <v>PALESTINE</v>
      </c>
      <c r="AG1060">
        <f>ROW()</f>
        <v>1060</v>
      </c>
    </row>
    <row r="1061" spans="24:33" hidden="1" x14ac:dyDescent="0.25">
      <c r="X1061">
        <v>6</v>
      </c>
      <c r="Y1061" t="s">
        <v>756</v>
      </c>
      <c r="Z1061" t="s">
        <v>757</v>
      </c>
      <c r="AA1061" t="str">
        <f>IF(OR(VLOOKUP(Table1[[#This Row],[sheet]],Prg!$A$7:$F$31,6,FALSE)=Prg!$O$2,VLOOKUP(Table1[[#This Row],[sheet]],Prg!$A$7:$F$31,6,FALSE)=Prg!$O$3),"Yes","No")</f>
        <v>Yes</v>
      </c>
      <c r="AB1061" t="s">
        <v>78</v>
      </c>
      <c r="AC1061">
        <v>20</v>
      </c>
      <c r="AD1061">
        <f ca="1">IF(ISERROR(VLOOKUP(Table1[[#This Row],[item]],INDIRECT("'"&amp;Table1[[#This Row],[sheet]]&amp;"'!$A$8:$T$42"),Table1[[#This Row],[r]],FALSE)),"",VLOOKUP(Table1[[#This Row],[item]],INDIRECT("'"&amp;Table1[[#This Row],[sheet]]&amp;"'!$A$8:$T$42"),Table1[[#This Row],[r]],FALSE))</f>
        <v>522612.76</v>
      </c>
      <c r="AE1061">
        <f>IF(VLOOKUP(Table1[[#This Row],[sheet]],Prg!$A$7:$J$31,10,FALSE)="","",VLOOKUP(Table1[[#This Row],[sheet]],Prg!$A$7:$J$31,10,FALSE)*1)</f>
        <v>1</v>
      </c>
      <c r="AF1061" t="str">
        <f>VLOOKUP(Table1[[#This Row],[sheet]],Prg!$A$7:$J$31,5,FALSE)</f>
        <v>PALESTINE</v>
      </c>
      <c r="AG1061">
        <f>ROW()</f>
        <v>1061</v>
      </c>
    </row>
    <row r="1062" spans="24:33" hidden="1" x14ac:dyDescent="0.25">
      <c r="X1062">
        <v>6</v>
      </c>
      <c r="Y1062" t="s">
        <v>758</v>
      </c>
      <c r="Z1062" t="s">
        <v>170</v>
      </c>
      <c r="AA1062" t="str">
        <f>IF(OR(VLOOKUP(Table1[[#This Row],[sheet]],Prg!$A$7:$F$31,6,FALSE)=Prg!$O$2,VLOOKUP(Table1[[#This Row],[sheet]],Prg!$A$7:$F$31,6,FALSE)=Prg!$O$3),"Yes","No")</f>
        <v>Yes</v>
      </c>
      <c r="AB1062" t="s">
        <v>78</v>
      </c>
      <c r="AC1062">
        <v>20</v>
      </c>
      <c r="AD1062">
        <f ca="1">IF(ISERROR(VLOOKUP(Table1[[#This Row],[item]],INDIRECT("'"&amp;Table1[[#This Row],[sheet]]&amp;"'!$A$8:$T$42"),Table1[[#This Row],[r]],FALSE)),"",VLOOKUP(Table1[[#This Row],[item]],INDIRECT("'"&amp;Table1[[#This Row],[sheet]]&amp;"'!$A$8:$T$42"),Table1[[#This Row],[r]],FALSE))</f>
        <v>177905.3</v>
      </c>
      <c r="AE1062">
        <f>IF(VLOOKUP(Table1[[#This Row],[sheet]],Prg!$A$7:$J$31,10,FALSE)="","",VLOOKUP(Table1[[#This Row],[sheet]],Prg!$A$7:$J$31,10,FALSE)*1)</f>
        <v>1</v>
      </c>
      <c r="AF1062" t="str">
        <f>VLOOKUP(Table1[[#This Row],[sheet]],Prg!$A$7:$J$31,5,FALSE)</f>
        <v>PALESTINE</v>
      </c>
      <c r="AG1062">
        <f>ROW()</f>
        <v>1062</v>
      </c>
    </row>
    <row r="1063" spans="24:33" hidden="1" x14ac:dyDescent="0.25">
      <c r="X1063">
        <v>6</v>
      </c>
      <c r="Y1063" t="s">
        <v>759</v>
      </c>
      <c r="Z1063" t="s">
        <v>172</v>
      </c>
      <c r="AA1063" t="str">
        <f>IF(OR(VLOOKUP(Table1[[#This Row],[sheet]],Prg!$A$7:$F$31,6,FALSE)=Prg!$O$2,VLOOKUP(Table1[[#This Row],[sheet]],Prg!$A$7:$F$31,6,FALSE)=Prg!$O$3),"Yes","No")</f>
        <v>Yes</v>
      </c>
      <c r="AB1063" t="s">
        <v>78</v>
      </c>
      <c r="AC1063">
        <v>20</v>
      </c>
      <c r="AD1063">
        <f ca="1">IF(ISERROR(VLOOKUP(Table1[[#This Row],[item]],INDIRECT("'"&amp;Table1[[#This Row],[sheet]]&amp;"'!$A$8:$T$42"),Table1[[#This Row],[r]],FALSE)),"",VLOOKUP(Table1[[#This Row],[item]],INDIRECT("'"&amp;Table1[[#This Row],[sheet]]&amp;"'!$A$8:$T$42"),Table1[[#This Row],[r]],FALSE))</f>
        <v>0</v>
      </c>
      <c r="AE1063">
        <f>IF(VLOOKUP(Table1[[#This Row],[sheet]],Prg!$A$7:$J$31,10,FALSE)="","",VLOOKUP(Table1[[#This Row],[sheet]],Prg!$A$7:$J$31,10,FALSE)*1)</f>
        <v>1</v>
      </c>
      <c r="AF1063" t="str">
        <f>VLOOKUP(Table1[[#This Row],[sheet]],Prg!$A$7:$J$31,5,FALSE)</f>
        <v>PALESTINE</v>
      </c>
      <c r="AG1063">
        <f>ROW()</f>
        <v>1063</v>
      </c>
    </row>
    <row r="1064" spans="24:33" hidden="1" x14ac:dyDescent="0.25">
      <c r="X1064">
        <v>6</v>
      </c>
      <c r="Y1064" t="s">
        <v>760</v>
      </c>
      <c r="Z1064" t="s">
        <v>174</v>
      </c>
      <c r="AA1064" t="str">
        <f>IF(OR(VLOOKUP(Table1[[#This Row],[sheet]],Prg!$A$7:$F$31,6,FALSE)=Prg!$O$2,VLOOKUP(Table1[[#This Row],[sheet]],Prg!$A$7:$F$31,6,FALSE)=Prg!$O$3),"Yes","No")</f>
        <v>Yes</v>
      </c>
      <c r="AB1064" t="s">
        <v>78</v>
      </c>
      <c r="AC1064">
        <v>20</v>
      </c>
      <c r="AD1064">
        <f ca="1">IF(ISERROR(VLOOKUP(Table1[[#This Row],[item]],INDIRECT("'"&amp;Table1[[#This Row],[sheet]]&amp;"'!$A$8:$T$42"),Table1[[#This Row],[r]],FALSE)),"",VLOOKUP(Table1[[#This Row],[item]],INDIRECT("'"&amp;Table1[[#This Row],[sheet]]&amp;"'!$A$8:$T$42"),Table1[[#This Row],[r]],FALSE))</f>
        <v>177905.3</v>
      </c>
      <c r="AE1064">
        <f>IF(VLOOKUP(Table1[[#This Row],[sheet]],Prg!$A$7:$J$31,10,FALSE)="","",VLOOKUP(Table1[[#This Row],[sheet]],Prg!$A$7:$J$31,10,FALSE)*1)</f>
        <v>1</v>
      </c>
      <c r="AF1064" t="str">
        <f>VLOOKUP(Table1[[#This Row],[sheet]],Prg!$A$7:$J$31,5,FALSE)</f>
        <v>PALESTINE</v>
      </c>
      <c r="AG1064">
        <f>ROW()</f>
        <v>1064</v>
      </c>
    </row>
    <row r="1065" spans="24:33" hidden="1" x14ac:dyDescent="0.25">
      <c r="X1065">
        <v>6</v>
      </c>
      <c r="Y1065" t="s">
        <v>761</v>
      </c>
      <c r="Z1065" t="s">
        <v>762</v>
      </c>
      <c r="AA1065" t="str">
        <f>IF(OR(VLOOKUP(Table1[[#This Row],[sheet]],Prg!$A$7:$F$31,6,FALSE)=Prg!$O$2,VLOOKUP(Table1[[#This Row],[sheet]],Prg!$A$7:$F$31,6,FALSE)=Prg!$O$3),"Yes","No")</f>
        <v>Yes</v>
      </c>
      <c r="AB1065" t="s">
        <v>78</v>
      </c>
      <c r="AC1065">
        <v>20</v>
      </c>
      <c r="AD1065">
        <f ca="1">IF(ISERROR(VLOOKUP(Table1[[#This Row],[item]],INDIRECT("'"&amp;Table1[[#This Row],[sheet]]&amp;"'!$A$8:$T$42"),Table1[[#This Row],[r]],FALSE)),"",VLOOKUP(Table1[[#This Row],[item]],INDIRECT("'"&amp;Table1[[#This Row],[sheet]]&amp;"'!$A$8:$T$42"),Table1[[#This Row],[r]],FALSE))</f>
        <v>0</v>
      </c>
      <c r="AE1065">
        <f>IF(VLOOKUP(Table1[[#This Row],[sheet]],Prg!$A$7:$J$31,10,FALSE)="","",VLOOKUP(Table1[[#This Row],[sheet]],Prg!$A$7:$J$31,10,FALSE)*1)</f>
        <v>1</v>
      </c>
      <c r="AF1065" t="str">
        <f>VLOOKUP(Table1[[#This Row],[sheet]],Prg!$A$7:$J$31,5,FALSE)</f>
        <v>PALESTINE</v>
      </c>
      <c r="AG1065">
        <f>ROW()</f>
        <v>1065</v>
      </c>
    </row>
    <row r="1066" spans="24:33" hidden="1" x14ac:dyDescent="0.25">
      <c r="X1066">
        <v>6</v>
      </c>
      <c r="Y1066" t="s">
        <v>763</v>
      </c>
      <c r="Z1066" t="s">
        <v>178</v>
      </c>
      <c r="AA1066" t="str">
        <f>IF(OR(VLOOKUP(Table1[[#This Row],[sheet]],Prg!$A$7:$F$31,6,FALSE)=Prg!$O$2,VLOOKUP(Table1[[#This Row],[sheet]],Prg!$A$7:$F$31,6,FALSE)=Prg!$O$3),"Yes","No")</f>
        <v>Yes</v>
      </c>
      <c r="AB1066" t="s">
        <v>78</v>
      </c>
      <c r="AC1066">
        <v>20</v>
      </c>
      <c r="AD1066">
        <f ca="1">IF(ISERROR(VLOOKUP(Table1[[#This Row],[item]],INDIRECT("'"&amp;Table1[[#This Row],[sheet]]&amp;"'!$A$8:$T$42"),Table1[[#This Row],[r]],FALSE)),"",VLOOKUP(Table1[[#This Row],[item]],INDIRECT("'"&amp;Table1[[#This Row],[sheet]]&amp;"'!$A$8:$T$42"),Table1[[#This Row],[r]],FALSE))</f>
        <v>855989.53</v>
      </c>
      <c r="AE1066">
        <f>IF(VLOOKUP(Table1[[#This Row],[sheet]],Prg!$A$7:$J$31,10,FALSE)="","",VLOOKUP(Table1[[#This Row],[sheet]],Prg!$A$7:$J$31,10,FALSE)*1)</f>
        <v>1</v>
      </c>
      <c r="AF1066" t="str">
        <f>VLOOKUP(Table1[[#This Row],[sheet]],Prg!$A$7:$J$31,5,FALSE)</f>
        <v>PALESTINE</v>
      </c>
      <c r="AG1066">
        <f>ROW()</f>
        <v>1066</v>
      </c>
    </row>
    <row r="1067" spans="24:33" hidden="1" x14ac:dyDescent="0.25">
      <c r="X1067">
        <v>6</v>
      </c>
      <c r="Y1067" t="s">
        <v>764</v>
      </c>
      <c r="Z1067" t="s">
        <v>109</v>
      </c>
      <c r="AA1067" t="str">
        <f>IF(OR(VLOOKUP(Table1[[#This Row],[sheet]],Prg!$A$7:$F$31,6,FALSE)=Prg!$O$2,VLOOKUP(Table1[[#This Row],[sheet]],Prg!$A$7:$F$31,6,FALSE)=Prg!$O$3),"Yes","No")</f>
        <v>Yes</v>
      </c>
      <c r="AB1067" t="s">
        <v>78</v>
      </c>
      <c r="AC1067">
        <v>20</v>
      </c>
      <c r="AD1067">
        <f ca="1">IF(ISERROR(VLOOKUP(Table1[[#This Row],[item]],INDIRECT("'"&amp;Table1[[#This Row],[sheet]]&amp;"'!$A$8:$T$42"),Table1[[#This Row],[r]],FALSE)),"",VLOOKUP(Table1[[#This Row],[item]],INDIRECT("'"&amp;Table1[[#This Row],[sheet]]&amp;"'!$A$8:$T$42"),Table1[[#This Row],[r]],FALSE))</f>
        <v>0</v>
      </c>
      <c r="AE1067">
        <f>IF(VLOOKUP(Table1[[#This Row],[sheet]],Prg!$A$7:$J$31,10,FALSE)="","",VLOOKUP(Table1[[#This Row],[sheet]],Prg!$A$7:$J$31,10,FALSE)*1)</f>
        <v>1</v>
      </c>
      <c r="AF1067" t="str">
        <f>VLOOKUP(Table1[[#This Row],[sheet]],Prg!$A$7:$J$31,5,FALSE)</f>
        <v>PALESTINE</v>
      </c>
      <c r="AG1067">
        <f>ROW()</f>
        <v>1067</v>
      </c>
    </row>
    <row r="1068" spans="24:33" hidden="1" x14ac:dyDescent="0.25">
      <c r="X1068">
        <v>6</v>
      </c>
      <c r="Y1068" t="s">
        <v>765</v>
      </c>
      <c r="Z1068" t="s">
        <v>117</v>
      </c>
      <c r="AA1068" t="str">
        <f>IF(OR(VLOOKUP(Table1[[#This Row],[sheet]],Prg!$A$7:$F$31,6,FALSE)=Prg!$O$2,VLOOKUP(Table1[[#This Row],[sheet]],Prg!$A$7:$F$31,6,FALSE)=Prg!$O$3),"Yes","No")</f>
        <v>Yes</v>
      </c>
      <c r="AB1068" t="s">
        <v>78</v>
      </c>
      <c r="AC1068">
        <v>20</v>
      </c>
      <c r="AD1068">
        <f ca="1">IF(ISERROR(VLOOKUP(Table1[[#This Row],[item]],INDIRECT("'"&amp;Table1[[#This Row],[sheet]]&amp;"'!$A$8:$T$42"),Table1[[#This Row],[r]],FALSE)),"",VLOOKUP(Table1[[#This Row],[item]],INDIRECT("'"&amp;Table1[[#This Row],[sheet]]&amp;"'!$A$8:$T$42"),Table1[[#This Row],[r]],FALSE))</f>
        <v>154124.53999999998</v>
      </c>
      <c r="AE1068">
        <f>IF(VLOOKUP(Table1[[#This Row],[sheet]],Prg!$A$7:$J$31,10,FALSE)="","",VLOOKUP(Table1[[#This Row],[sheet]],Prg!$A$7:$J$31,10,FALSE)*1)</f>
        <v>1</v>
      </c>
      <c r="AF1068" t="str">
        <f>VLOOKUP(Table1[[#This Row],[sheet]],Prg!$A$7:$J$31,5,FALSE)</f>
        <v>PALESTINE</v>
      </c>
      <c r="AG1068">
        <f>ROW()</f>
        <v>1068</v>
      </c>
    </row>
    <row r="1069" spans="24:33" hidden="1" x14ac:dyDescent="0.25">
      <c r="X1069">
        <v>6</v>
      </c>
      <c r="Y1069" t="s">
        <v>766</v>
      </c>
      <c r="Z1069" t="s">
        <v>767</v>
      </c>
      <c r="AA1069" t="str">
        <f>IF(OR(VLOOKUP(Table1[[#This Row],[sheet]],Prg!$A$7:$F$31,6,FALSE)=Prg!$O$2,VLOOKUP(Table1[[#This Row],[sheet]],Prg!$A$7:$F$31,6,FALSE)=Prg!$O$3),"Yes","No")</f>
        <v>Yes</v>
      </c>
      <c r="AB1069" t="s">
        <v>78</v>
      </c>
      <c r="AC1069">
        <v>20</v>
      </c>
      <c r="AD1069">
        <f ca="1">IF(ISERROR(VLOOKUP(Table1[[#This Row],[item]],INDIRECT("'"&amp;Table1[[#This Row],[sheet]]&amp;"'!$A$8:$T$42"),Table1[[#This Row],[r]],FALSE)),"",VLOOKUP(Table1[[#This Row],[item]],INDIRECT("'"&amp;Table1[[#This Row],[sheet]]&amp;"'!$A$8:$T$42"),Table1[[#This Row],[r]],FALSE))</f>
        <v>701864.99</v>
      </c>
      <c r="AE1069">
        <f>IF(VLOOKUP(Table1[[#This Row],[sheet]],Prg!$A$7:$J$31,10,FALSE)="","",VLOOKUP(Table1[[#This Row],[sheet]],Prg!$A$7:$J$31,10,FALSE)*1)</f>
        <v>1</v>
      </c>
      <c r="AF1069" t="str">
        <f>VLOOKUP(Table1[[#This Row],[sheet]],Prg!$A$7:$J$31,5,FALSE)</f>
        <v>PALESTINE</v>
      </c>
      <c r="AG1069">
        <f>ROW()</f>
        <v>1069</v>
      </c>
    </row>
    <row r="1070" spans="24:33" hidden="1" x14ac:dyDescent="0.25">
      <c r="X1070">
        <v>6</v>
      </c>
      <c r="Y1070" t="s">
        <v>768</v>
      </c>
      <c r="Z1070" t="s">
        <v>182</v>
      </c>
      <c r="AA1070" t="str">
        <f>IF(OR(VLOOKUP(Table1[[#This Row],[sheet]],Prg!$A$7:$F$31,6,FALSE)=Prg!$O$2,VLOOKUP(Table1[[#This Row],[sheet]],Prg!$A$7:$F$31,6,FALSE)=Prg!$O$3),"Yes","No")</f>
        <v>Yes</v>
      </c>
      <c r="AB1070" t="s">
        <v>78</v>
      </c>
      <c r="AC1070">
        <v>20</v>
      </c>
      <c r="AD1070">
        <f ca="1">IF(ISERROR(VLOOKUP(Table1[[#This Row],[item]],INDIRECT("'"&amp;Table1[[#This Row],[sheet]]&amp;"'!$A$8:$T$42"),Table1[[#This Row],[r]],FALSE)),"",VLOOKUP(Table1[[#This Row],[item]],INDIRECT("'"&amp;Table1[[#This Row],[sheet]]&amp;"'!$A$8:$T$42"),Table1[[#This Row],[r]],FALSE))</f>
        <v>15000</v>
      </c>
      <c r="AE1070">
        <f>IF(VLOOKUP(Table1[[#This Row],[sheet]],Prg!$A$7:$J$31,10,FALSE)="","",VLOOKUP(Table1[[#This Row],[sheet]],Prg!$A$7:$J$31,10,FALSE)*1)</f>
        <v>1</v>
      </c>
      <c r="AF1070" t="str">
        <f>VLOOKUP(Table1[[#This Row],[sheet]],Prg!$A$7:$J$31,5,FALSE)</f>
        <v>PALESTINE</v>
      </c>
      <c r="AG1070">
        <f>ROW()</f>
        <v>1070</v>
      </c>
    </row>
    <row r="1071" spans="24:33" hidden="1" x14ac:dyDescent="0.25">
      <c r="X1071">
        <v>6</v>
      </c>
      <c r="Y1071" t="s">
        <v>769</v>
      </c>
      <c r="Z1071" t="s">
        <v>184</v>
      </c>
      <c r="AA1071" t="str">
        <f>IF(OR(VLOOKUP(Table1[[#This Row],[sheet]],Prg!$A$7:$F$31,6,FALSE)=Prg!$O$2,VLOOKUP(Table1[[#This Row],[sheet]],Prg!$A$7:$F$31,6,FALSE)=Prg!$O$3),"Yes","No")</f>
        <v>Yes</v>
      </c>
      <c r="AB1071" t="s">
        <v>78</v>
      </c>
      <c r="AC1071">
        <v>20</v>
      </c>
      <c r="AD1071">
        <f ca="1">IF(ISERROR(VLOOKUP(Table1[[#This Row],[item]],INDIRECT("'"&amp;Table1[[#This Row],[sheet]]&amp;"'!$A$8:$T$42"),Table1[[#This Row],[r]],FALSE)),"",VLOOKUP(Table1[[#This Row],[item]],INDIRECT("'"&amp;Table1[[#This Row],[sheet]]&amp;"'!$A$8:$T$42"),Table1[[#This Row],[r]],FALSE))</f>
        <v>0</v>
      </c>
      <c r="AE1071">
        <f>IF(VLOOKUP(Table1[[#This Row],[sheet]],Prg!$A$7:$J$31,10,FALSE)="","",VLOOKUP(Table1[[#This Row],[sheet]],Prg!$A$7:$J$31,10,FALSE)*1)</f>
        <v>1</v>
      </c>
      <c r="AF1071" t="str">
        <f>VLOOKUP(Table1[[#This Row],[sheet]],Prg!$A$7:$J$31,5,FALSE)</f>
        <v>PALESTINE</v>
      </c>
      <c r="AG1071">
        <f>ROW()</f>
        <v>1071</v>
      </c>
    </row>
    <row r="1072" spans="24:33" hidden="1" x14ac:dyDescent="0.25">
      <c r="X1072">
        <v>6</v>
      </c>
      <c r="Y1072" t="s">
        <v>770</v>
      </c>
      <c r="Z1072" t="s">
        <v>186</v>
      </c>
      <c r="AA1072" t="str">
        <f>IF(OR(VLOOKUP(Table1[[#This Row],[sheet]],Prg!$A$7:$F$31,6,FALSE)=Prg!$O$2,VLOOKUP(Table1[[#This Row],[sheet]],Prg!$A$7:$F$31,6,FALSE)=Prg!$O$3),"Yes","No")</f>
        <v>Yes</v>
      </c>
      <c r="AB1072" t="s">
        <v>78</v>
      </c>
      <c r="AC1072">
        <v>20</v>
      </c>
      <c r="AD1072">
        <f ca="1">IF(ISERROR(VLOOKUP(Table1[[#This Row],[item]],INDIRECT("'"&amp;Table1[[#This Row],[sheet]]&amp;"'!$A$8:$T$42"),Table1[[#This Row],[r]],FALSE)),"",VLOOKUP(Table1[[#This Row],[item]],INDIRECT("'"&amp;Table1[[#This Row],[sheet]]&amp;"'!$A$8:$T$42"),Table1[[#This Row],[r]],FALSE))</f>
        <v>15000</v>
      </c>
      <c r="AE1072">
        <f>IF(VLOOKUP(Table1[[#This Row],[sheet]],Prg!$A$7:$J$31,10,FALSE)="","",VLOOKUP(Table1[[#This Row],[sheet]],Prg!$A$7:$J$31,10,FALSE)*1)</f>
        <v>1</v>
      </c>
      <c r="AF1072" t="str">
        <f>VLOOKUP(Table1[[#This Row],[sheet]],Prg!$A$7:$J$31,5,FALSE)</f>
        <v>PALESTINE</v>
      </c>
      <c r="AG1072">
        <f>ROW()</f>
        <v>1072</v>
      </c>
    </row>
    <row r="1073" spans="24:33" hidden="1" x14ac:dyDescent="0.25">
      <c r="X1073">
        <v>6</v>
      </c>
      <c r="Y1073" t="s">
        <v>771</v>
      </c>
      <c r="Z1073" t="s">
        <v>772</v>
      </c>
      <c r="AA1073" t="str">
        <f>IF(OR(VLOOKUP(Table1[[#This Row],[sheet]],Prg!$A$7:$F$31,6,FALSE)=Prg!$O$2,VLOOKUP(Table1[[#This Row],[sheet]],Prg!$A$7:$F$31,6,FALSE)=Prg!$O$3),"Yes","No")</f>
        <v>Yes</v>
      </c>
      <c r="AB1073" t="s">
        <v>78</v>
      </c>
      <c r="AC1073">
        <v>20</v>
      </c>
      <c r="AD1073">
        <f ca="1">IF(ISERROR(VLOOKUP(Table1[[#This Row],[item]],INDIRECT("'"&amp;Table1[[#This Row],[sheet]]&amp;"'!$A$8:$T$42"),Table1[[#This Row],[r]],FALSE)),"",VLOOKUP(Table1[[#This Row],[item]],INDIRECT("'"&amp;Table1[[#This Row],[sheet]]&amp;"'!$A$8:$T$42"),Table1[[#This Row],[r]],FALSE))</f>
        <v>0</v>
      </c>
      <c r="AE1073">
        <f>IF(VLOOKUP(Table1[[#This Row],[sheet]],Prg!$A$7:$J$31,10,FALSE)="","",VLOOKUP(Table1[[#This Row],[sheet]],Prg!$A$7:$J$31,10,FALSE)*1)</f>
        <v>1</v>
      </c>
      <c r="AF1073" t="str">
        <f>VLOOKUP(Table1[[#This Row],[sheet]],Prg!$A$7:$J$31,5,FALSE)</f>
        <v>PALESTINE</v>
      </c>
      <c r="AG1073">
        <f>ROW()</f>
        <v>1073</v>
      </c>
    </row>
    <row r="1074" spans="24:33" hidden="1" x14ac:dyDescent="0.25">
      <c r="X1074">
        <v>6</v>
      </c>
      <c r="Y1074" t="s">
        <v>773</v>
      </c>
      <c r="Z1074" t="s">
        <v>190</v>
      </c>
      <c r="AA1074" t="str">
        <f>IF(OR(VLOOKUP(Table1[[#This Row],[sheet]],Prg!$A$7:$F$31,6,FALSE)=Prg!$O$2,VLOOKUP(Table1[[#This Row],[sheet]],Prg!$A$7:$F$31,6,FALSE)=Prg!$O$3),"Yes","No")</f>
        <v>Yes</v>
      </c>
      <c r="AB1074" t="s">
        <v>78</v>
      </c>
      <c r="AC1074">
        <v>20</v>
      </c>
      <c r="AD1074">
        <f ca="1">IF(ISERROR(VLOOKUP(Table1[[#This Row],[item]],INDIRECT("'"&amp;Table1[[#This Row],[sheet]]&amp;"'!$A$8:$T$42"),Table1[[#This Row],[r]],FALSE)),"",VLOOKUP(Table1[[#This Row],[item]],INDIRECT("'"&amp;Table1[[#This Row],[sheet]]&amp;"'!$A$8:$T$42"),Table1[[#This Row],[r]],FALSE))</f>
        <v>3149123.2538436106</v>
      </c>
      <c r="AE1074">
        <f>IF(VLOOKUP(Table1[[#This Row],[sheet]],Prg!$A$7:$J$31,10,FALSE)="","",VLOOKUP(Table1[[#This Row],[sheet]],Prg!$A$7:$J$31,10,FALSE)*1)</f>
        <v>1</v>
      </c>
      <c r="AF1074" t="str">
        <f>VLOOKUP(Table1[[#This Row],[sheet]],Prg!$A$7:$J$31,5,FALSE)</f>
        <v>PALESTINE</v>
      </c>
      <c r="AG1074">
        <f>ROW()</f>
        <v>1074</v>
      </c>
    </row>
    <row r="1075" spans="24:33" hidden="1" x14ac:dyDescent="0.25">
      <c r="X1075">
        <v>6</v>
      </c>
      <c r="Y1075" t="s">
        <v>709</v>
      </c>
      <c r="Z1075" t="s">
        <v>192</v>
      </c>
      <c r="AA1075" t="str">
        <f>IF(OR(VLOOKUP(Table1[[#This Row],[sheet]],Prg!$A$7:$F$31,6,FALSE)=Prg!$O$2,VLOOKUP(Table1[[#This Row],[sheet]],Prg!$A$7:$F$31,6,FALSE)=Prg!$O$3),"Yes","No")</f>
        <v>Yes</v>
      </c>
      <c r="AB1075" t="s">
        <v>78</v>
      </c>
      <c r="AC1075">
        <v>20</v>
      </c>
      <c r="AD1075">
        <f ca="1">IF(ISERROR(VLOOKUP(Table1[[#This Row],[item]],INDIRECT("'"&amp;Table1[[#This Row],[sheet]]&amp;"'!$A$8:$T$42"),Table1[[#This Row],[r]],FALSE)),"",VLOOKUP(Table1[[#This Row],[item]],INDIRECT("'"&amp;Table1[[#This Row],[sheet]]&amp;"'!$A$8:$T$42"),Table1[[#This Row],[r]],FALSE))</f>
        <v>2700</v>
      </c>
      <c r="AE1075">
        <f>IF(VLOOKUP(Table1[[#This Row],[sheet]],Prg!$A$7:$J$31,10,FALSE)="","",VLOOKUP(Table1[[#This Row],[sheet]],Prg!$A$7:$J$31,10,FALSE)*1)</f>
        <v>1</v>
      </c>
      <c r="AF1075" t="str">
        <f>VLOOKUP(Table1[[#This Row],[sheet]],Prg!$A$7:$J$31,5,FALSE)</f>
        <v>PALESTINE</v>
      </c>
      <c r="AG1075">
        <f>ROW()</f>
        <v>1075</v>
      </c>
    </row>
    <row r="1076" spans="24:33" hidden="1" x14ac:dyDescent="0.25">
      <c r="X1076">
        <v>6</v>
      </c>
      <c r="Y1076" t="s">
        <v>774</v>
      </c>
      <c r="Z1076" t="s">
        <v>194</v>
      </c>
      <c r="AA1076" t="str">
        <f>IF(OR(VLOOKUP(Table1[[#This Row],[sheet]],Prg!$A$7:$F$31,6,FALSE)=Prg!$O$2,VLOOKUP(Table1[[#This Row],[sheet]],Prg!$A$7:$F$31,6,FALSE)=Prg!$O$3),"Yes","No")</f>
        <v>Yes</v>
      </c>
      <c r="AB1076" t="s">
        <v>78</v>
      </c>
      <c r="AC1076">
        <v>20</v>
      </c>
      <c r="AD1076">
        <f ca="1">IF(ISERROR(VLOOKUP(Table1[[#This Row],[item]],INDIRECT("'"&amp;Table1[[#This Row],[sheet]]&amp;"'!$A$8:$T$42"),Table1[[#This Row],[r]],FALSE)),"",VLOOKUP(Table1[[#This Row],[item]],INDIRECT("'"&amp;Table1[[#This Row],[sheet]]&amp;"'!$A$8:$T$42"),Table1[[#This Row],[r]],FALSE))</f>
        <v>0</v>
      </c>
      <c r="AE1076">
        <f>IF(VLOOKUP(Table1[[#This Row],[sheet]],Prg!$A$7:$J$31,10,FALSE)="","",VLOOKUP(Table1[[#This Row],[sheet]],Prg!$A$7:$J$31,10,FALSE)*1)</f>
        <v>1</v>
      </c>
      <c r="AF1076" t="str">
        <f>VLOOKUP(Table1[[#This Row],[sheet]],Prg!$A$7:$J$31,5,FALSE)</f>
        <v>PALESTINE</v>
      </c>
      <c r="AG1076">
        <f>ROW()</f>
        <v>1076</v>
      </c>
    </row>
    <row r="1077" spans="24:33" hidden="1" x14ac:dyDescent="0.25">
      <c r="X1077">
        <v>6</v>
      </c>
      <c r="Y1077" t="s">
        <v>775</v>
      </c>
      <c r="Z1077" t="s">
        <v>196</v>
      </c>
      <c r="AA1077" t="str">
        <f>IF(OR(VLOOKUP(Table1[[#This Row],[sheet]],Prg!$A$7:$F$31,6,FALSE)=Prg!$O$2,VLOOKUP(Table1[[#This Row],[sheet]],Prg!$A$7:$F$31,6,FALSE)=Prg!$O$3),"Yes","No")</f>
        <v>Yes</v>
      </c>
      <c r="AB1077" t="s">
        <v>78</v>
      </c>
      <c r="AC1077">
        <v>20</v>
      </c>
      <c r="AD1077">
        <f ca="1">IF(ISERROR(VLOOKUP(Table1[[#This Row],[item]],INDIRECT("'"&amp;Table1[[#This Row],[sheet]]&amp;"'!$A$8:$T$42"),Table1[[#This Row],[r]],FALSE)),"",VLOOKUP(Table1[[#This Row],[item]],INDIRECT("'"&amp;Table1[[#This Row],[sheet]]&amp;"'!$A$8:$T$42"),Table1[[#This Row],[r]],FALSE))</f>
        <v>2700</v>
      </c>
      <c r="AE1077">
        <f>IF(VLOOKUP(Table1[[#This Row],[sheet]],Prg!$A$7:$J$31,10,FALSE)="","",VLOOKUP(Table1[[#This Row],[sheet]],Prg!$A$7:$J$31,10,FALSE)*1)</f>
        <v>1</v>
      </c>
      <c r="AF1077" t="str">
        <f>VLOOKUP(Table1[[#This Row],[sheet]],Prg!$A$7:$J$31,5,FALSE)</f>
        <v>PALESTINE</v>
      </c>
      <c r="AG1077">
        <f>ROW()</f>
        <v>1077</v>
      </c>
    </row>
    <row r="1078" spans="24:33" hidden="1" x14ac:dyDescent="0.25">
      <c r="X1078">
        <v>6</v>
      </c>
      <c r="Y1078" t="s">
        <v>776</v>
      </c>
      <c r="Z1078" t="s">
        <v>605</v>
      </c>
      <c r="AA1078" t="str">
        <f>IF(OR(VLOOKUP(Table1[[#This Row],[sheet]],Prg!$A$7:$F$31,6,FALSE)=Prg!$O$2,VLOOKUP(Table1[[#This Row],[sheet]],Prg!$A$7:$F$31,6,FALSE)=Prg!$O$3),"Yes","No")</f>
        <v>Yes</v>
      </c>
      <c r="AB1078" t="s">
        <v>78</v>
      </c>
      <c r="AC1078">
        <v>20</v>
      </c>
      <c r="AD1078">
        <f ca="1">IF(ISERROR(VLOOKUP(Table1[[#This Row],[item]],INDIRECT("'"&amp;Table1[[#This Row],[sheet]]&amp;"'!$A$8:$T$42"),Table1[[#This Row],[r]],FALSE)),"",VLOOKUP(Table1[[#This Row],[item]],INDIRECT("'"&amp;Table1[[#This Row],[sheet]]&amp;"'!$A$8:$T$42"),Table1[[#This Row],[r]],FALSE))</f>
        <v>0</v>
      </c>
      <c r="AE1078">
        <f>IF(VLOOKUP(Table1[[#This Row],[sheet]],Prg!$A$7:$J$31,10,FALSE)="","",VLOOKUP(Table1[[#This Row],[sheet]],Prg!$A$7:$J$31,10,FALSE)*1)</f>
        <v>1</v>
      </c>
      <c r="AF1078" t="str">
        <f>VLOOKUP(Table1[[#This Row],[sheet]],Prg!$A$7:$J$31,5,FALSE)</f>
        <v>PALESTINE</v>
      </c>
      <c r="AG1078">
        <f>ROW()</f>
        <v>1078</v>
      </c>
    </row>
    <row r="1079" spans="24:33" hidden="1" x14ac:dyDescent="0.25">
      <c r="X1079">
        <v>6</v>
      </c>
      <c r="Y1079" t="s">
        <v>711</v>
      </c>
      <c r="Z1079" t="s">
        <v>200</v>
      </c>
      <c r="AA1079" t="str">
        <f>IF(OR(VLOOKUP(Table1[[#This Row],[sheet]],Prg!$A$7:$F$31,6,FALSE)=Prg!$O$2,VLOOKUP(Table1[[#This Row],[sheet]],Prg!$A$7:$F$31,6,FALSE)=Prg!$O$3),"Yes","No")</f>
        <v>Yes</v>
      </c>
      <c r="AB1079" t="s">
        <v>78</v>
      </c>
      <c r="AC1079">
        <v>20</v>
      </c>
      <c r="AD1079">
        <f ca="1">IF(ISERROR(VLOOKUP(Table1[[#This Row],[item]],INDIRECT("'"&amp;Table1[[#This Row],[sheet]]&amp;"'!$A$8:$T$42"),Table1[[#This Row],[r]],FALSE)),"",VLOOKUP(Table1[[#This Row],[item]],INDIRECT("'"&amp;Table1[[#This Row],[sheet]]&amp;"'!$A$8:$T$42"),Table1[[#This Row],[r]],FALSE))</f>
        <v>1921945.5038436104</v>
      </c>
      <c r="AE1079">
        <f>IF(VLOOKUP(Table1[[#This Row],[sheet]],Prg!$A$7:$J$31,10,FALSE)="","",VLOOKUP(Table1[[#This Row],[sheet]],Prg!$A$7:$J$31,10,FALSE)*1)</f>
        <v>1</v>
      </c>
      <c r="AF1079" t="str">
        <f>VLOOKUP(Table1[[#This Row],[sheet]],Prg!$A$7:$J$31,5,FALSE)</f>
        <v>PALESTINE</v>
      </c>
      <c r="AG1079">
        <f>ROW()</f>
        <v>1079</v>
      </c>
    </row>
    <row r="1080" spans="24:33" hidden="1" x14ac:dyDescent="0.25">
      <c r="X1080">
        <v>6</v>
      </c>
      <c r="Y1080" t="s">
        <v>777</v>
      </c>
      <c r="Z1080" t="s">
        <v>202</v>
      </c>
      <c r="AA1080" t="str">
        <f>IF(OR(VLOOKUP(Table1[[#This Row],[sheet]],Prg!$A$7:$F$31,6,FALSE)=Prg!$O$2,VLOOKUP(Table1[[#This Row],[sheet]],Prg!$A$7:$F$31,6,FALSE)=Prg!$O$3),"Yes","No")</f>
        <v>Yes</v>
      </c>
      <c r="AB1080" t="s">
        <v>78</v>
      </c>
      <c r="AC1080">
        <v>20</v>
      </c>
      <c r="AD1080">
        <f ca="1">IF(ISERROR(VLOOKUP(Table1[[#This Row],[item]],INDIRECT("'"&amp;Table1[[#This Row],[sheet]]&amp;"'!$A$8:$T$42"),Table1[[#This Row],[r]],FALSE)),"",VLOOKUP(Table1[[#This Row],[item]],INDIRECT("'"&amp;Table1[[#This Row],[sheet]]&amp;"'!$A$8:$T$42"),Table1[[#This Row],[r]],FALSE))</f>
        <v>74800</v>
      </c>
      <c r="AE1080">
        <f>IF(VLOOKUP(Table1[[#This Row],[sheet]],Prg!$A$7:$J$31,10,FALSE)="","",VLOOKUP(Table1[[#This Row],[sheet]],Prg!$A$7:$J$31,10,FALSE)*1)</f>
        <v>1</v>
      </c>
      <c r="AF1080" t="str">
        <f>VLOOKUP(Table1[[#This Row],[sheet]],Prg!$A$7:$J$31,5,FALSE)</f>
        <v>PALESTINE</v>
      </c>
      <c r="AG1080">
        <f>ROW()</f>
        <v>1080</v>
      </c>
    </row>
    <row r="1081" spans="24:33" hidden="1" x14ac:dyDescent="0.25">
      <c r="X1081">
        <v>6</v>
      </c>
      <c r="Y1081" t="s">
        <v>778</v>
      </c>
      <c r="Z1081" t="s">
        <v>204</v>
      </c>
      <c r="AA1081" t="str">
        <f>IF(OR(VLOOKUP(Table1[[#This Row],[sheet]],Prg!$A$7:$F$31,6,FALSE)=Prg!$O$2,VLOOKUP(Table1[[#This Row],[sheet]],Prg!$A$7:$F$31,6,FALSE)=Prg!$O$3),"Yes","No")</f>
        <v>Yes</v>
      </c>
      <c r="AB1081" t="s">
        <v>78</v>
      </c>
      <c r="AC1081">
        <v>20</v>
      </c>
      <c r="AD1081">
        <f ca="1">IF(ISERROR(VLOOKUP(Table1[[#This Row],[item]],INDIRECT("'"&amp;Table1[[#This Row],[sheet]]&amp;"'!$A$8:$T$42"),Table1[[#This Row],[r]],FALSE)),"",VLOOKUP(Table1[[#This Row],[item]],INDIRECT("'"&amp;Table1[[#This Row],[sheet]]&amp;"'!$A$8:$T$42"),Table1[[#This Row],[r]],FALSE))</f>
        <v>134314.51</v>
      </c>
      <c r="AE1081">
        <f>IF(VLOOKUP(Table1[[#This Row],[sheet]],Prg!$A$7:$J$31,10,FALSE)="","",VLOOKUP(Table1[[#This Row],[sheet]],Prg!$A$7:$J$31,10,FALSE)*1)</f>
        <v>1</v>
      </c>
      <c r="AF1081" t="str">
        <f>VLOOKUP(Table1[[#This Row],[sheet]],Prg!$A$7:$J$31,5,FALSE)</f>
        <v>PALESTINE</v>
      </c>
      <c r="AG1081">
        <f>ROW()</f>
        <v>1081</v>
      </c>
    </row>
    <row r="1082" spans="24:33" hidden="1" x14ac:dyDescent="0.25">
      <c r="X1082">
        <v>6</v>
      </c>
      <c r="Y1082" t="s">
        <v>779</v>
      </c>
      <c r="Z1082" t="s">
        <v>605</v>
      </c>
      <c r="AA1082" t="str">
        <f>IF(OR(VLOOKUP(Table1[[#This Row],[sheet]],Prg!$A$7:$F$31,6,FALSE)=Prg!$O$2,VLOOKUP(Table1[[#This Row],[sheet]],Prg!$A$7:$F$31,6,FALSE)=Prg!$O$3),"Yes","No")</f>
        <v>Yes</v>
      </c>
      <c r="AB1082" t="s">
        <v>78</v>
      </c>
      <c r="AC1082">
        <v>20</v>
      </c>
      <c r="AD1082">
        <f ca="1">IF(ISERROR(VLOOKUP(Table1[[#This Row],[item]],INDIRECT("'"&amp;Table1[[#This Row],[sheet]]&amp;"'!$A$8:$T$42"),Table1[[#This Row],[r]],FALSE)),"",VLOOKUP(Table1[[#This Row],[item]],INDIRECT("'"&amp;Table1[[#This Row],[sheet]]&amp;"'!$A$8:$T$42"),Table1[[#This Row],[r]],FALSE))</f>
        <v>1712830.9938436104</v>
      </c>
      <c r="AE1082">
        <f>IF(VLOOKUP(Table1[[#This Row],[sheet]],Prg!$A$7:$J$31,10,FALSE)="","",VLOOKUP(Table1[[#This Row],[sheet]],Prg!$A$7:$J$31,10,FALSE)*1)</f>
        <v>1</v>
      </c>
      <c r="AF1082" t="str">
        <f>VLOOKUP(Table1[[#This Row],[sheet]],Prg!$A$7:$J$31,5,FALSE)</f>
        <v>PALESTINE</v>
      </c>
      <c r="AG1082">
        <f>ROW()</f>
        <v>1082</v>
      </c>
    </row>
    <row r="1083" spans="24:33" hidden="1" x14ac:dyDescent="0.25">
      <c r="X1083">
        <v>6</v>
      </c>
      <c r="Y1083" t="s">
        <v>712</v>
      </c>
      <c r="Z1083" t="s">
        <v>780</v>
      </c>
      <c r="AA1083" t="str">
        <f>IF(OR(VLOOKUP(Table1[[#This Row],[sheet]],Prg!$A$7:$F$31,6,FALSE)=Prg!$O$2,VLOOKUP(Table1[[#This Row],[sheet]],Prg!$A$7:$F$31,6,FALSE)=Prg!$O$3),"Yes","No")</f>
        <v>Yes</v>
      </c>
      <c r="AB1083" t="s">
        <v>78</v>
      </c>
      <c r="AC1083">
        <v>20</v>
      </c>
      <c r="AD1083">
        <f ca="1">IF(ISERROR(VLOOKUP(Table1[[#This Row],[item]],INDIRECT("'"&amp;Table1[[#This Row],[sheet]]&amp;"'!$A$8:$T$42"),Table1[[#This Row],[r]],FALSE)),"",VLOOKUP(Table1[[#This Row],[item]],INDIRECT("'"&amp;Table1[[#This Row],[sheet]]&amp;"'!$A$8:$T$42"),Table1[[#This Row],[r]],FALSE))</f>
        <v>1224477.75</v>
      </c>
      <c r="AE1083">
        <f>IF(VLOOKUP(Table1[[#This Row],[sheet]],Prg!$A$7:$J$31,10,FALSE)="","",VLOOKUP(Table1[[#This Row],[sheet]],Prg!$A$7:$J$31,10,FALSE)*1)</f>
        <v>1</v>
      </c>
      <c r="AF1083" t="str">
        <f>VLOOKUP(Table1[[#This Row],[sheet]],Prg!$A$7:$J$31,5,FALSE)</f>
        <v>PALESTINE</v>
      </c>
      <c r="AG1083">
        <f>ROW()</f>
        <v>1083</v>
      </c>
    </row>
    <row r="1084" spans="24:33" hidden="1" x14ac:dyDescent="0.25">
      <c r="X1084">
        <v>6</v>
      </c>
      <c r="Y1084" t="s">
        <v>781</v>
      </c>
      <c r="Z1084" t="s">
        <v>782</v>
      </c>
      <c r="AA1084" t="str">
        <f>IF(OR(VLOOKUP(Table1[[#This Row],[sheet]],Prg!$A$7:$F$31,6,FALSE)=Prg!$O$2,VLOOKUP(Table1[[#This Row],[sheet]],Prg!$A$7:$F$31,6,FALSE)=Prg!$O$3),"Yes","No")</f>
        <v>Yes</v>
      </c>
      <c r="AB1084" t="s">
        <v>78</v>
      </c>
      <c r="AC1084">
        <v>20</v>
      </c>
      <c r="AD1084">
        <f ca="1">IF(ISERROR(VLOOKUP(Table1[[#This Row],[item]],INDIRECT("'"&amp;Table1[[#This Row],[sheet]]&amp;"'!$A$8:$T$42"),Table1[[#This Row],[r]],FALSE)),"",VLOOKUP(Table1[[#This Row],[item]],INDIRECT("'"&amp;Table1[[#This Row],[sheet]]&amp;"'!$A$8:$T$42"),Table1[[#This Row],[r]],FALSE))</f>
        <v>0</v>
      </c>
      <c r="AE1084">
        <f>IF(VLOOKUP(Table1[[#This Row],[sheet]],Prg!$A$7:$J$31,10,FALSE)="","",VLOOKUP(Table1[[#This Row],[sheet]],Prg!$A$7:$J$31,10,FALSE)*1)</f>
        <v>1</v>
      </c>
      <c r="AF1084" t="str">
        <f>VLOOKUP(Table1[[#This Row],[sheet]],Prg!$A$7:$J$31,5,FALSE)</f>
        <v>PALESTINE</v>
      </c>
      <c r="AG1084">
        <f>ROW()</f>
        <v>1084</v>
      </c>
    </row>
    <row r="1085" spans="24:33" hidden="1" x14ac:dyDescent="0.25">
      <c r="X1085">
        <v>6</v>
      </c>
      <c r="Y1085" t="s">
        <v>783</v>
      </c>
      <c r="Z1085" t="s">
        <v>784</v>
      </c>
      <c r="AA1085" t="str">
        <f>IF(OR(VLOOKUP(Table1[[#This Row],[sheet]],Prg!$A$7:$F$31,6,FALSE)=Prg!$O$2,VLOOKUP(Table1[[#This Row],[sheet]],Prg!$A$7:$F$31,6,FALSE)=Prg!$O$3),"Yes","No")</f>
        <v>Yes</v>
      </c>
      <c r="AB1085" t="s">
        <v>78</v>
      </c>
      <c r="AC1085">
        <v>20</v>
      </c>
      <c r="AD1085">
        <f ca="1">IF(ISERROR(VLOOKUP(Table1[[#This Row],[item]],INDIRECT("'"&amp;Table1[[#This Row],[sheet]]&amp;"'!$A$8:$T$42"),Table1[[#This Row],[r]],FALSE)),"",VLOOKUP(Table1[[#This Row],[item]],INDIRECT("'"&amp;Table1[[#This Row],[sheet]]&amp;"'!$A$8:$T$42"),Table1[[#This Row],[r]],FALSE))</f>
        <v>0</v>
      </c>
      <c r="AE1085">
        <f>IF(VLOOKUP(Table1[[#This Row],[sheet]],Prg!$A$7:$J$31,10,FALSE)="","",VLOOKUP(Table1[[#This Row],[sheet]],Prg!$A$7:$J$31,10,FALSE)*1)</f>
        <v>1</v>
      </c>
      <c r="AF1085" t="str">
        <f>VLOOKUP(Table1[[#This Row],[sheet]],Prg!$A$7:$J$31,5,FALSE)</f>
        <v>PALESTINE</v>
      </c>
      <c r="AG1085">
        <f>ROW()</f>
        <v>1085</v>
      </c>
    </row>
    <row r="1086" spans="24:33" hidden="1" x14ac:dyDescent="0.25">
      <c r="X1086">
        <v>6</v>
      </c>
      <c r="Y1086" t="s">
        <v>785</v>
      </c>
      <c r="Z1086" t="s">
        <v>786</v>
      </c>
      <c r="AA1086" t="str">
        <f>IF(OR(VLOOKUP(Table1[[#This Row],[sheet]],Prg!$A$7:$F$31,6,FALSE)=Prg!$O$2,VLOOKUP(Table1[[#This Row],[sheet]],Prg!$A$7:$F$31,6,FALSE)=Prg!$O$3),"Yes","No")</f>
        <v>Yes</v>
      </c>
      <c r="AB1086" t="s">
        <v>78</v>
      </c>
      <c r="AC1086">
        <v>20</v>
      </c>
      <c r="AD1086">
        <f ca="1">IF(ISERROR(VLOOKUP(Table1[[#This Row],[item]],INDIRECT("'"&amp;Table1[[#This Row],[sheet]]&amp;"'!$A$8:$T$42"),Table1[[#This Row],[r]],FALSE)),"",VLOOKUP(Table1[[#This Row],[item]],INDIRECT("'"&amp;Table1[[#This Row],[sheet]]&amp;"'!$A$8:$T$42"),Table1[[#This Row],[r]],FALSE))</f>
        <v>1224477.75</v>
      </c>
      <c r="AE1086">
        <f>IF(VLOOKUP(Table1[[#This Row],[sheet]],Prg!$A$7:$J$31,10,FALSE)="","",VLOOKUP(Table1[[#This Row],[sheet]],Prg!$A$7:$J$31,10,FALSE)*1)</f>
        <v>1</v>
      </c>
      <c r="AF1086" t="str">
        <f>VLOOKUP(Table1[[#This Row],[sheet]],Prg!$A$7:$J$31,5,FALSE)</f>
        <v>PALESTINE</v>
      </c>
      <c r="AG1086">
        <f>ROW()</f>
        <v>1086</v>
      </c>
    </row>
    <row r="1087" spans="24:33" hidden="1" x14ac:dyDescent="0.25">
      <c r="X1087">
        <v>6</v>
      </c>
      <c r="Y1087" t="s">
        <v>787</v>
      </c>
      <c r="Z1087" t="s">
        <v>633</v>
      </c>
      <c r="AA1087" t="str">
        <f>IF(OR(VLOOKUP(Table1[[#This Row],[sheet]],Prg!$A$7:$F$31,6,FALSE)=Prg!$O$2,VLOOKUP(Table1[[#This Row],[sheet]],Prg!$A$7:$F$31,6,FALSE)=Prg!$O$3),"Yes","No")</f>
        <v>Yes</v>
      </c>
      <c r="AB1087" t="s">
        <v>78</v>
      </c>
      <c r="AC1087">
        <v>20</v>
      </c>
      <c r="AD1087">
        <f ca="1">IF(ISERROR(VLOOKUP(Table1[[#This Row],[item]],INDIRECT("'"&amp;Table1[[#This Row],[sheet]]&amp;"'!$A$8:$T$42"),Table1[[#This Row],[r]],FALSE)),"",VLOOKUP(Table1[[#This Row],[item]],INDIRECT("'"&amp;Table1[[#This Row],[sheet]]&amp;"'!$A$8:$T$42"),Table1[[#This Row],[r]],FALSE))</f>
        <v>0</v>
      </c>
      <c r="AE1087">
        <f>IF(VLOOKUP(Table1[[#This Row],[sheet]],Prg!$A$7:$J$31,10,FALSE)="","",VLOOKUP(Table1[[#This Row],[sheet]],Prg!$A$7:$J$31,10,FALSE)*1)</f>
        <v>1</v>
      </c>
      <c r="AF1087" t="str">
        <f>VLOOKUP(Table1[[#This Row],[sheet]],Prg!$A$7:$J$31,5,FALSE)</f>
        <v>PALESTINE</v>
      </c>
      <c r="AG1087">
        <f>ROW()</f>
        <v>1087</v>
      </c>
    </row>
    <row r="1088" spans="24:33" hidden="1" x14ac:dyDescent="0.25">
      <c r="X1088">
        <v>7</v>
      </c>
      <c r="Y1088" t="s">
        <v>753</v>
      </c>
      <c r="Z1088" t="s">
        <v>162</v>
      </c>
      <c r="AA1088" t="str">
        <f>IF(OR(VLOOKUP(Table1[[#This Row],[sheet]],Prg!$A$7:$F$31,6,FALSE)=Prg!$O$2,VLOOKUP(Table1[[#This Row],[sheet]],Prg!$A$7:$F$31,6,FALSE)=Prg!$O$3),"Yes","No")</f>
        <v>Yes</v>
      </c>
      <c r="AB1088">
        <v>2022</v>
      </c>
      <c r="AC1088">
        <v>15</v>
      </c>
      <c r="AD1088">
        <f ca="1">IF(ISERROR(VLOOKUP(Table1[[#This Row],[item]],INDIRECT("'"&amp;Table1[[#This Row],[sheet]]&amp;"'!$A$8:$T$42"),Table1[[#This Row],[r]],FALSE)),"",VLOOKUP(Table1[[#This Row],[item]],INDIRECT("'"&amp;Table1[[#This Row],[sheet]]&amp;"'!$A$8:$T$42"),Table1[[#This Row],[r]],FALSE))</f>
        <v>304477.68454545457</v>
      </c>
      <c r="AE1088">
        <f>IF(VLOOKUP(Table1[[#This Row],[sheet]],Prg!$A$7:$J$31,10,FALSE)="","",VLOOKUP(Table1[[#This Row],[sheet]],Prg!$A$7:$J$31,10,FALSE)*1)</f>
        <v>1</v>
      </c>
      <c r="AF1088" t="str">
        <f>VLOOKUP(Table1[[#This Row],[sheet]],Prg!$A$7:$J$31,5,FALSE)</f>
        <v>CONGO (DEMOCRATIC REP.)</v>
      </c>
      <c r="AG1088">
        <f>ROW()</f>
        <v>1088</v>
      </c>
    </row>
    <row r="1089" spans="24:33" hidden="1" x14ac:dyDescent="0.25">
      <c r="X1089">
        <v>7</v>
      </c>
      <c r="Y1089" t="s">
        <v>754</v>
      </c>
      <c r="Z1089" t="s">
        <v>164</v>
      </c>
      <c r="AA1089" t="str">
        <f>IF(OR(VLOOKUP(Table1[[#This Row],[sheet]],Prg!$A$7:$F$31,6,FALSE)=Prg!$O$2,VLOOKUP(Table1[[#This Row],[sheet]],Prg!$A$7:$F$31,6,FALSE)=Prg!$O$3),"Yes","No")</f>
        <v>Yes</v>
      </c>
      <c r="AB1089">
        <v>2022</v>
      </c>
      <c r="AC1089">
        <v>15</v>
      </c>
      <c r="AD1089">
        <f ca="1">IF(ISERROR(VLOOKUP(Table1[[#This Row],[item]],INDIRECT("'"&amp;Table1[[#This Row],[sheet]]&amp;"'!$A$8:$T$42"),Table1[[#This Row],[r]],FALSE)),"",VLOOKUP(Table1[[#This Row],[item]],INDIRECT("'"&amp;Table1[[#This Row],[sheet]]&amp;"'!$A$8:$T$42"),Table1[[#This Row],[r]],FALSE))</f>
        <v>21036.62</v>
      </c>
      <c r="AE1089">
        <f>IF(VLOOKUP(Table1[[#This Row],[sheet]],Prg!$A$7:$J$31,10,FALSE)="","",VLOOKUP(Table1[[#This Row],[sheet]],Prg!$A$7:$J$31,10,FALSE)*1)</f>
        <v>1</v>
      </c>
      <c r="AF1089" t="str">
        <f>VLOOKUP(Table1[[#This Row],[sheet]],Prg!$A$7:$J$31,5,FALSE)</f>
        <v>CONGO (DEMOCRATIC REP.)</v>
      </c>
      <c r="AG1089">
        <f>ROW()</f>
        <v>1089</v>
      </c>
    </row>
    <row r="1090" spans="24:33" hidden="1" x14ac:dyDescent="0.25">
      <c r="X1090">
        <v>7</v>
      </c>
      <c r="Y1090" t="s">
        <v>755</v>
      </c>
      <c r="Z1090" t="s">
        <v>166</v>
      </c>
      <c r="AA1090" t="str">
        <f>IF(OR(VLOOKUP(Table1[[#This Row],[sheet]],Prg!$A$7:$F$31,6,FALSE)=Prg!$O$2,VLOOKUP(Table1[[#This Row],[sheet]],Prg!$A$7:$F$31,6,FALSE)=Prg!$O$3),"Yes","No")</f>
        <v>Yes</v>
      </c>
      <c r="AB1090">
        <v>2022</v>
      </c>
      <c r="AC1090">
        <v>15</v>
      </c>
      <c r="AD1090">
        <f ca="1">IF(ISERROR(VLOOKUP(Table1[[#This Row],[item]],INDIRECT("'"&amp;Table1[[#This Row],[sheet]]&amp;"'!$A$8:$T$42"),Table1[[#This Row],[r]],FALSE)),"",VLOOKUP(Table1[[#This Row],[item]],INDIRECT("'"&amp;Table1[[#This Row],[sheet]]&amp;"'!$A$8:$T$42"),Table1[[#This Row],[r]],FALSE))</f>
        <v>215155.06454545454</v>
      </c>
      <c r="AE1090">
        <f>IF(VLOOKUP(Table1[[#This Row],[sheet]],Prg!$A$7:$J$31,10,FALSE)="","",VLOOKUP(Table1[[#This Row],[sheet]],Prg!$A$7:$J$31,10,FALSE)*1)</f>
        <v>1</v>
      </c>
      <c r="AF1090" t="str">
        <f>VLOOKUP(Table1[[#This Row],[sheet]],Prg!$A$7:$J$31,5,FALSE)</f>
        <v>CONGO (DEMOCRATIC REP.)</v>
      </c>
      <c r="AG1090">
        <f>ROW()</f>
        <v>1090</v>
      </c>
    </row>
    <row r="1091" spans="24:33" hidden="1" x14ac:dyDescent="0.25">
      <c r="X1091">
        <v>7</v>
      </c>
      <c r="Y1091" t="s">
        <v>756</v>
      </c>
      <c r="Z1091" t="s">
        <v>757</v>
      </c>
      <c r="AA1091" t="str">
        <f>IF(OR(VLOOKUP(Table1[[#This Row],[sheet]],Prg!$A$7:$F$31,6,FALSE)=Prg!$O$2,VLOOKUP(Table1[[#This Row],[sheet]],Prg!$A$7:$F$31,6,FALSE)=Prg!$O$3),"Yes","No")</f>
        <v>Yes</v>
      </c>
      <c r="AB1091">
        <v>2022</v>
      </c>
      <c r="AC1091">
        <v>15</v>
      </c>
      <c r="AD1091">
        <f ca="1">IF(ISERROR(VLOOKUP(Table1[[#This Row],[item]],INDIRECT("'"&amp;Table1[[#This Row],[sheet]]&amp;"'!$A$8:$T$42"),Table1[[#This Row],[r]],FALSE)),"",VLOOKUP(Table1[[#This Row],[item]],INDIRECT("'"&amp;Table1[[#This Row],[sheet]]&amp;"'!$A$8:$T$42"),Table1[[#This Row],[r]],FALSE))</f>
        <v>68286</v>
      </c>
      <c r="AE1091">
        <f>IF(VLOOKUP(Table1[[#This Row],[sheet]],Prg!$A$7:$J$31,10,FALSE)="","",VLOOKUP(Table1[[#This Row],[sheet]],Prg!$A$7:$J$31,10,FALSE)*1)</f>
        <v>1</v>
      </c>
      <c r="AF1091" t="str">
        <f>VLOOKUP(Table1[[#This Row],[sheet]],Prg!$A$7:$J$31,5,FALSE)</f>
        <v>CONGO (DEMOCRATIC REP.)</v>
      </c>
      <c r="AG1091">
        <f>ROW()</f>
        <v>1091</v>
      </c>
    </row>
    <row r="1092" spans="24:33" hidden="1" x14ac:dyDescent="0.25">
      <c r="X1092">
        <v>7</v>
      </c>
      <c r="Y1092" t="s">
        <v>758</v>
      </c>
      <c r="Z1092" t="s">
        <v>170</v>
      </c>
      <c r="AA1092" t="str">
        <f>IF(OR(VLOOKUP(Table1[[#This Row],[sheet]],Prg!$A$7:$F$31,6,FALSE)=Prg!$O$2,VLOOKUP(Table1[[#This Row],[sheet]],Prg!$A$7:$F$31,6,FALSE)=Prg!$O$3),"Yes","No")</f>
        <v>Yes</v>
      </c>
      <c r="AB1092">
        <v>2022</v>
      </c>
      <c r="AC1092">
        <v>15</v>
      </c>
      <c r="AD1092">
        <f ca="1">IF(ISERROR(VLOOKUP(Table1[[#This Row],[item]],INDIRECT("'"&amp;Table1[[#This Row],[sheet]]&amp;"'!$A$8:$T$42"),Table1[[#This Row],[r]],FALSE)),"",VLOOKUP(Table1[[#This Row],[item]],INDIRECT("'"&amp;Table1[[#This Row],[sheet]]&amp;"'!$A$8:$T$42"),Table1[[#This Row],[r]],FALSE))</f>
        <v>9017.18</v>
      </c>
      <c r="AE1092">
        <f>IF(VLOOKUP(Table1[[#This Row],[sheet]],Prg!$A$7:$J$31,10,FALSE)="","",VLOOKUP(Table1[[#This Row],[sheet]],Prg!$A$7:$J$31,10,FALSE)*1)</f>
        <v>1</v>
      </c>
      <c r="AF1092" t="str">
        <f>VLOOKUP(Table1[[#This Row],[sheet]],Prg!$A$7:$J$31,5,FALSE)</f>
        <v>CONGO (DEMOCRATIC REP.)</v>
      </c>
      <c r="AG1092">
        <f>ROW()</f>
        <v>1092</v>
      </c>
    </row>
    <row r="1093" spans="24:33" hidden="1" x14ac:dyDescent="0.25">
      <c r="X1093">
        <v>7</v>
      </c>
      <c r="Y1093" t="s">
        <v>759</v>
      </c>
      <c r="Z1093" t="s">
        <v>172</v>
      </c>
      <c r="AA1093" t="str">
        <f>IF(OR(VLOOKUP(Table1[[#This Row],[sheet]],Prg!$A$7:$F$31,6,FALSE)=Prg!$O$2,VLOOKUP(Table1[[#This Row],[sheet]],Prg!$A$7:$F$31,6,FALSE)=Prg!$O$3),"Yes","No")</f>
        <v>Yes</v>
      </c>
      <c r="AB1093">
        <v>2022</v>
      </c>
      <c r="AC1093">
        <v>15</v>
      </c>
      <c r="AD1093">
        <f ca="1">IF(ISERROR(VLOOKUP(Table1[[#This Row],[item]],INDIRECT("'"&amp;Table1[[#This Row],[sheet]]&amp;"'!$A$8:$T$42"),Table1[[#This Row],[r]],FALSE)),"",VLOOKUP(Table1[[#This Row],[item]],INDIRECT("'"&amp;Table1[[#This Row],[sheet]]&amp;"'!$A$8:$T$42"),Table1[[#This Row],[r]],FALSE))</f>
        <v>0</v>
      </c>
      <c r="AE1093">
        <f>IF(VLOOKUP(Table1[[#This Row],[sheet]],Prg!$A$7:$J$31,10,FALSE)="","",VLOOKUP(Table1[[#This Row],[sheet]],Prg!$A$7:$J$31,10,FALSE)*1)</f>
        <v>1</v>
      </c>
      <c r="AF1093" t="str">
        <f>VLOOKUP(Table1[[#This Row],[sheet]],Prg!$A$7:$J$31,5,FALSE)</f>
        <v>CONGO (DEMOCRATIC REP.)</v>
      </c>
      <c r="AG1093">
        <f>ROW()</f>
        <v>1093</v>
      </c>
    </row>
    <row r="1094" spans="24:33" hidden="1" x14ac:dyDescent="0.25">
      <c r="X1094">
        <v>7</v>
      </c>
      <c r="Y1094" t="s">
        <v>760</v>
      </c>
      <c r="Z1094" t="s">
        <v>174</v>
      </c>
      <c r="AA1094" t="str">
        <f>IF(OR(VLOOKUP(Table1[[#This Row],[sheet]],Prg!$A$7:$F$31,6,FALSE)=Prg!$O$2,VLOOKUP(Table1[[#This Row],[sheet]],Prg!$A$7:$F$31,6,FALSE)=Prg!$O$3),"Yes","No")</f>
        <v>Yes</v>
      </c>
      <c r="AB1094">
        <v>2022</v>
      </c>
      <c r="AC1094">
        <v>15</v>
      </c>
      <c r="AD1094">
        <f ca="1">IF(ISERROR(VLOOKUP(Table1[[#This Row],[item]],INDIRECT("'"&amp;Table1[[#This Row],[sheet]]&amp;"'!$A$8:$T$42"),Table1[[#This Row],[r]],FALSE)),"",VLOOKUP(Table1[[#This Row],[item]],INDIRECT("'"&amp;Table1[[#This Row],[sheet]]&amp;"'!$A$8:$T$42"),Table1[[#This Row],[r]],FALSE))</f>
        <v>6767.18</v>
      </c>
      <c r="AE1094">
        <f>IF(VLOOKUP(Table1[[#This Row],[sheet]],Prg!$A$7:$J$31,10,FALSE)="","",VLOOKUP(Table1[[#This Row],[sheet]],Prg!$A$7:$J$31,10,FALSE)*1)</f>
        <v>1</v>
      </c>
      <c r="AF1094" t="str">
        <f>VLOOKUP(Table1[[#This Row],[sheet]],Prg!$A$7:$J$31,5,FALSE)</f>
        <v>CONGO (DEMOCRATIC REP.)</v>
      </c>
      <c r="AG1094">
        <f>ROW()</f>
        <v>1094</v>
      </c>
    </row>
    <row r="1095" spans="24:33" hidden="1" x14ac:dyDescent="0.25">
      <c r="X1095">
        <v>7</v>
      </c>
      <c r="Y1095" t="s">
        <v>761</v>
      </c>
      <c r="Z1095" t="s">
        <v>762</v>
      </c>
      <c r="AA1095" t="str">
        <f>IF(OR(VLOOKUP(Table1[[#This Row],[sheet]],Prg!$A$7:$F$31,6,FALSE)=Prg!$O$2,VLOOKUP(Table1[[#This Row],[sheet]],Prg!$A$7:$F$31,6,FALSE)=Prg!$O$3),"Yes","No")</f>
        <v>Yes</v>
      </c>
      <c r="AB1095">
        <v>2022</v>
      </c>
      <c r="AC1095">
        <v>15</v>
      </c>
      <c r="AD1095">
        <f ca="1">IF(ISERROR(VLOOKUP(Table1[[#This Row],[item]],INDIRECT("'"&amp;Table1[[#This Row],[sheet]]&amp;"'!$A$8:$T$42"),Table1[[#This Row],[r]],FALSE)),"",VLOOKUP(Table1[[#This Row],[item]],INDIRECT("'"&amp;Table1[[#This Row],[sheet]]&amp;"'!$A$8:$T$42"),Table1[[#This Row],[r]],FALSE))</f>
        <v>2250</v>
      </c>
      <c r="AE1095">
        <f>IF(VLOOKUP(Table1[[#This Row],[sheet]],Prg!$A$7:$J$31,10,FALSE)="","",VLOOKUP(Table1[[#This Row],[sheet]],Prg!$A$7:$J$31,10,FALSE)*1)</f>
        <v>1</v>
      </c>
      <c r="AF1095" t="str">
        <f>VLOOKUP(Table1[[#This Row],[sheet]],Prg!$A$7:$J$31,5,FALSE)</f>
        <v>CONGO (DEMOCRATIC REP.)</v>
      </c>
      <c r="AG1095">
        <f>ROW()</f>
        <v>1095</v>
      </c>
    </row>
    <row r="1096" spans="24:33" hidden="1" x14ac:dyDescent="0.25">
      <c r="X1096">
        <v>7</v>
      </c>
      <c r="Y1096" t="s">
        <v>763</v>
      </c>
      <c r="Z1096" t="s">
        <v>178</v>
      </c>
      <c r="AA1096" t="str">
        <f>IF(OR(VLOOKUP(Table1[[#This Row],[sheet]],Prg!$A$7:$F$31,6,FALSE)=Prg!$O$2,VLOOKUP(Table1[[#This Row],[sheet]],Prg!$A$7:$F$31,6,FALSE)=Prg!$O$3),"Yes","No")</f>
        <v>Yes</v>
      </c>
      <c r="AB1096">
        <v>2022</v>
      </c>
      <c r="AC1096">
        <v>15</v>
      </c>
      <c r="AD1096">
        <f ca="1">IF(ISERROR(VLOOKUP(Table1[[#This Row],[item]],INDIRECT("'"&amp;Table1[[#This Row],[sheet]]&amp;"'!$A$8:$T$42"),Table1[[#This Row],[r]],FALSE)),"",VLOOKUP(Table1[[#This Row],[item]],INDIRECT("'"&amp;Table1[[#This Row],[sheet]]&amp;"'!$A$8:$T$42"),Table1[[#This Row],[r]],FALSE))</f>
        <v>157560</v>
      </c>
      <c r="AE1096">
        <f>IF(VLOOKUP(Table1[[#This Row],[sheet]],Prg!$A$7:$J$31,10,FALSE)="","",VLOOKUP(Table1[[#This Row],[sheet]],Prg!$A$7:$J$31,10,FALSE)*1)</f>
        <v>1</v>
      </c>
      <c r="AF1096" t="str">
        <f>VLOOKUP(Table1[[#This Row],[sheet]],Prg!$A$7:$J$31,5,FALSE)</f>
        <v>CONGO (DEMOCRATIC REP.)</v>
      </c>
      <c r="AG1096">
        <f>ROW()</f>
        <v>1096</v>
      </c>
    </row>
    <row r="1097" spans="24:33" hidden="1" x14ac:dyDescent="0.25">
      <c r="X1097">
        <v>7</v>
      </c>
      <c r="Y1097" t="s">
        <v>764</v>
      </c>
      <c r="Z1097" t="s">
        <v>109</v>
      </c>
      <c r="AA1097" t="str">
        <f>IF(OR(VLOOKUP(Table1[[#This Row],[sheet]],Prg!$A$7:$F$31,6,FALSE)=Prg!$O$2,VLOOKUP(Table1[[#This Row],[sheet]],Prg!$A$7:$F$31,6,FALSE)=Prg!$O$3),"Yes","No")</f>
        <v>Yes</v>
      </c>
      <c r="AB1097">
        <v>2022</v>
      </c>
      <c r="AC1097">
        <v>15</v>
      </c>
      <c r="AD1097">
        <f ca="1">IF(ISERROR(VLOOKUP(Table1[[#This Row],[item]],INDIRECT("'"&amp;Table1[[#This Row],[sheet]]&amp;"'!$A$8:$T$42"),Table1[[#This Row],[r]],FALSE)),"",VLOOKUP(Table1[[#This Row],[item]],INDIRECT("'"&amp;Table1[[#This Row],[sheet]]&amp;"'!$A$8:$T$42"),Table1[[#This Row],[r]],FALSE))</f>
        <v>3200</v>
      </c>
      <c r="AE1097">
        <f>IF(VLOOKUP(Table1[[#This Row],[sheet]],Prg!$A$7:$J$31,10,FALSE)="","",VLOOKUP(Table1[[#This Row],[sheet]],Prg!$A$7:$J$31,10,FALSE)*1)</f>
        <v>1</v>
      </c>
      <c r="AF1097" t="str">
        <f>VLOOKUP(Table1[[#This Row],[sheet]],Prg!$A$7:$J$31,5,FALSE)</f>
        <v>CONGO (DEMOCRATIC REP.)</v>
      </c>
      <c r="AG1097">
        <f>ROW()</f>
        <v>1097</v>
      </c>
    </row>
    <row r="1098" spans="24:33" hidden="1" x14ac:dyDescent="0.25">
      <c r="X1098">
        <v>7</v>
      </c>
      <c r="Y1098" t="s">
        <v>765</v>
      </c>
      <c r="Z1098" t="s">
        <v>117</v>
      </c>
      <c r="AA1098" t="str">
        <f>IF(OR(VLOOKUP(Table1[[#This Row],[sheet]],Prg!$A$7:$F$31,6,FALSE)=Prg!$O$2,VLOOKUP(Table1[[#This Row],[sheet]],Prg!$A$7:$F$31,6,FALSE)=Prg!$O$3),"Yes","No")</f>
        <v>Yes</v>
      </c>
      <c r="AB1098">
        <v>2022</v>
      </c>
      <c r="AC1098">
        <v>15</v>
      </c>
      <c r="AD1098">
        <f ca="1">IF(ISERROR(VLOOKUP(Table1[[#This Row],[item]],INDIRECT("'"&amp;Table1[[#This Row],[sheet]]&amp;"'!$A$8:$T$42"),Table1[[#This Row],[r]],FALSE)),"",VLOOKUP(Table1[[#This Row],[item]],INDIRECT("'"&amp;Table1[[#This Row],[sheet]]&amp;"'!$A$8:$T$42"),Table1[[#This Row],[r]],FALSE))</f>
        <v>38173.56</v>
      </c>
      <c r="AE1098">
        <f>IF(VLOOKUP(Table1[[#This Row],[sheet]],Prg!$A$7:$J$31,10,FALSE)="","",VLOOKUP(Table1[[#This Row],[sheet]],Prg!$A$7:$J$31,10,FALSE)*1)</f>
        <v>1</v>
      </c>
      <c r="AF1098" t="str">
        <f>VLOOKUP(Table1[[#This Row],[sheet]],Prg!$A$7:$J$31,5,FALSE)</f>
        <v>CONGO (DEMOCRATIC REP.)</v>
      </c>
      <c r="AG1098">
        <f>ROW()</f>
        <v>1098</v>
      </c>
    </row>
    <row r="1099" spans="24:33" hidden="1" x14ac:dyDescent="0.25">
      <c r="X1099">
        <v>7</v>
      </c>
      <c r="Y1099" t="s">
        <v>766</v>
      </c>
      <c r="Z1099" t="s">
        <v>767</v>
      </c>
      <c r="AA1099" t="str">
        <f>IF(OR(VLOOKUP(Table1[[#This Row],[sheet]],Prg!$A$7:$F$31,6,FALSE)=Prg!$O$2,VLOOKUP(Table1[[#This Row],[sheet]],Prg!$A$7:$F$31,6,FALSE)=Prg!$O$3),"Yes","No")</f>
        <v>Yes</v>
      </c>
      <c r="AB1099">
        <v>2022</v>
      </c>
      <c r="AC1099">
        <v>15</v>
      </c>
      <c r="AD1099">
        <f ca="1">IF(ISERROR(VLOOKUP(Table1[[#This Row],[item]],INDIRECT("'"&amp;Table1[[#This Row],[sheet]]&amp;"'!$A$8:$T$42"),Table1[[#This Row],[r]],FALSE)),"",VLOOKUP(Table1[[#This Row],[item]],INDIRECT("'"&amp;Table1[[#This Row],[sheet]]&amp;"'!$A$8:$T$42"),Table1[[#This Row],[r]],FALSE))</f>
        <v>116186.44</v>
      </c>
      <c r="AE1099">
        <f>IF(VLOOKUP(Table1[[#This Row],[sheet]],Prg!$A$7:$J$31,10,FALSE)="","",VLOOKUP(Table1[[#This Row],[sheet]],Prg!$A$7:$J$31,10,FALSE)*1)</f>
        <v>1</v>
      </c>
      <c r="AF1099" t="str">
        <f>VLOOKUP(Table1[[#This Row],[sheet]],Prg!$A$7:$J$31,5,FALSE)</f>
        <v>CONGO (DEMOCRATIC REP.)</v>
      </c>
      <c r="AG1099">
        <f>ROW()</f>
        <v>1099</v>
      </c>
    </row>
    <row r="1100" spans="24:33" hidden="1" x14ac:dyDescent="0.25">
      <c r="X1100">
        <v>7</v>
      </c>
      <c r="Y1100" t="s">
        <v>768</v>
      </c>
      <c r="Z1100" t="s">
        <v>182</v>
      </c>
      <c r="AA1100" t="str">
        <f>IF(OR(VLOOKUP(Table1[[#This Row],[sheet]],Prg!$A$7:$F$31,6,FALSE)=Prg!$O$2,VLOOKUP(Table1[[#This Row],[sheet]],Prg!$A$7:$F$31,6,FALSE)=Prg!$O$3),"Yes","No")</f>
        <v>Yes</v>
      </c>
      <c r="AB1100">
        <v>2022</v>
      </c>
      <c r="AC1100">
        <v>15</v>
      </c>
      <c r="AD1100">
        <f ca="1">IF(ISERROR(VLOOKUP(Table1[[#This Row],[item]],INDIRECT("'"&amp;Table1[[#This Row],[sheet]]&amp;"'!$A$8:$T$42"),Table1[[#This Row],[r]],FALSE)),"",VLOOKUP(Table1[[#This Row],[item]],INDIRECT("'"&amp;Table1[[#This Row],[sheet]]&amp;"'!$A$8:$T$42"),Table1[[#This Row],[r]],FALSE))</f>
        <v>4000</v>
      </c>
      <c r="AE1100">
        <f>IF(VLOOKUP(Table1[[#This Row],[sheet]],Prg!$A$7:$J$31,10,FALSE)="","",VLOOKUP(Table1[[#This Row],[sheet]],Prg!$A$7:$J$31,10,FALSE)*1)</f>
        <v>1</v>
      </c>
      <c r="AF1100" t="str">
        <f>VLOOKUP(Table1[[#This Row],[sheet]],Prg!$A$7:$J$31,5,FALSE)</f>
        <v>CONGO (DEMOCRATIC REP.)</v>
      </c>
      <c r="AG1100">
        <f>ROW()</f>
        <v>1100</v>
      </c>
    </row>
    <row r="1101" spans="24:33" hidden="1" x14ac:dyDescent="0.25">
      <c r="X1101">
        <v>7</v>
      </c>
      <c r="Y1101" t="s">
        <v>769</v>
      </c>
      <c r="Z1101" t="s">
        <v>184</v>
      </c>
      <c r="AA1101" t="str">
        <f>IF(OR(VLOOKUP(Table1[[#This Row],[sheet]],Prg!$A$7:$F$31,6,FALSE)=Prg!$O$2,VLOOKUP(Table1[[#This Row],[sheet]],Prg!$A$7:$F$31,6,FALSE)=Prg!$O$3),"Yes","No")</f>
        <v>Yes</v>
      </c>
      <c r="AB1101">
        <v>2022</v>
      </c>
      <c r="AC1101">
        <v>15</v>
      </c>
      <c r="AD1101">
        <f ca="1">IF(ISERROR(VLOOKUP(Table1[[#This Row],[item]],INDIRECT("'"&amp;Table1[[#This Row],[sheet]]&amp;"'!$A$8:$T$42"),Table1[[#This Row],[r]],FALSE)),"",VLOOKUP(Table1[[#This Row],[item]],INDIRECT("'"&amp;Table1[[#This Row],[sheet]]&amp;"'!$A$8:$T$42"),Table1[[#This Row],[r]],FALSE))</f>
        <v>0</v>
      </c>
      <c r="AE1101">
        <f>IF(VLOOKUP(Table1[[#This Row],[sheet]],Prg!$A$7:$J$31,10,FALSE)="","",VLOOKUP(Table1[[#This Row],[sheet]],Prg!$A$7:$J$31,10,FALSE)*1)</f>
        <v>1</v>
      </c>
      <c r="AF1101" t="str">
        <f>VLOOKUP(Table1[[#This Row],[sheet]],Prg!$A$7:$J$31,5,FALSE)</f>
        <v>CONGO (DEMOCRATIC REP.)</v>
      </c>
      <c r="AG1101">
        <f>ROW()</f>
        <v>1101</v>
      </c>
    </row>
    <row r="1102" spans="24:33" hidden="1" x14ac:dyDescent="0.25">
      <c r="X1102">
        <v>7</v>
      </c>
      <c r="Y1102" t="s">
        <v>770</v>
      </c>
      <c r="Z1102" t="s">
        <v>186</v>
      </c>
      <c r="AA1102" t="str">
        <f>IF(OR(VLOOKUP(Table1[[#This Row],[sheet]],Prg!$A$7:$F$31,6,FALSE)=Prg!$O$2,VLOOKUP(Table1[[#This Row],[sheet]],Prg!$A$7:$F$31,6,FALSE)=Prg!$O$3),"Yes","No")</f>
        <v>Yes</v>
      </c>
      <c r="AB1102">
        <v>2022</v>
      </c>
      <c r="AC1102">
        <v>15</v>
      </c>
      <c r="AD1102">
        <f ca="1">IF(ISERROR(VLOOKUP(Table1[[#This Row],[item]],INDIRECT("'"&amp;Table1[[#This Row],[sheet]]&amp;"'!$A$8:$T$42"),Table1[[#This Row],[r]],FALSE)),"",VLOOKUP(Table1[[#This Row],[item]],INDIRECT("'"&amp;Table1[[#This Row],[sheet]]&amp;"'!$A$8:$T$42"),Table1[[#This Row],[r]],FALSE))</f>
        <v>4000</v>
      </c>
      <c r="AE1102">
        <f>IF(VLOOKUP(Table1[[#This Row],[sheet]],Prg!$A$7:$J$31,10,FALSE)="","",VLOOKUP(Table1[[#This Row],[sheet]],Prg!$A$7:$J$31,10,FALSE)*1)</f>
        <v>1</v>
      </c>
      <c r="AF1102" t="str">
        <f>VLOOKUP(Table1[[#This Row],[sheet]],Prg!$A$7:$J$31,5,FALSE)</f>
        <v>CONGO (DEMOCRATIC REP.)</v>
      </c>
      <c r="AG1102">
        <f>ROW()</f>
        <v>1102</v>
      </c>
    </row>
    <row r="1103" spans="24:33" hidden="1" x14ac:dyDescent="0.25">
      <c r="X1103">
        <v>7</v>
      </c>
      <c r="Y1103" t="s">
        <v>771</v>
      </c>
      <c r="Z1103" t="s">
        <v>772</v>
      </c>
      <c r="AA1103" t="str">
        <f>IF(OR(VLOOKUP(Table1[[#This Row],[sheet]],Prg!$A$7:$F$31,6,FALSE)=Prg!$O$2,VLOOKUP(Table1[[#This Row],[sheet]],Prg!$A$7:$F$31,6,FALSE)=Prg!$O$3),"Yes","No")</f>
        <v>Yes</v>
      </c>
      <c r="AB1103">
        <v>2022</v>
      </c>
      <c r="AC1103">
        <v>15</v>
      </c>
      <c r="AD1103">
        <f ca="1">IF(ISERROR(VLOOKUP(Table1[[#This Row],[item]],INDIRECT("'"&amp;Table1[[#This Row],[sheet]]&amp;"'!$A$8:$T$42"),Table1[[#This Row],[r]],FALSE)),"",VLOOKUP(Table1[[#This Row],[item]],INDIRECT("'"&amp;Table1[[#This Row],[sheet]]&amp;"'!$A$8:$T$42"),Table1[[#This Row],[r]],FALSE))</f>
        <v>0</v>
      </c>
      <c r="AE1103">
        <f>IF(VLOOKUP(Table1[[#This Row],[sheet]],Prg!$A$7:$J$31,10,FALSE)="","",VLOOKUP(Table1[[#This Row],[sheet]],Prg!$A$7:$J$31,10,FALSE)*1)</f>
        <v>1</v>
      </c>
      <c r="AF1103" t="str">
        <f>VLOOKUP(Table1[[#This Row],[sheet]],Prg!$A$7:$J$31,5,FALSE)</f>
        <v>CONGO (DEMOCRATIC REP.)</v>
      </c>
      <c r="AG1103">
        <f>ROW()</f>
        <v>1103</v>
      </c>
    </row>
    <row r="1104" spans="24:33" hidden="1" x14ac:dyDescent="0.25">
      <c r="X1104">
        <v>7</v>
      </c>
      <c r="Y1104" t="s">
        <v>773</v>
      </c>
      <c r="Z1104" t="s">
        <v>190</v>
      </c>
      <c r="AA1104" t="str">
        <f>IF(OR(VLOOKUP(Table1[[#This Row],[sheet]],Prg!$A$7:$F$31,6,FALSE)=Prg!$O$2,VLOOKUP(Table1[[#This Row],[sheet]],Prg!$A$7:$F$31,6,FALSE)=Prg!$O$3),"Yes","No")</f>
        <v>Yes</v>
      </c>
      <c r="AB1104">
        <v>2022</v>
      </c>
      <c r="AC1104">
        <v>15</v>
      </c>
      <c r="AD1104">
        <f ca="1">IF(ISERROR(VLOOKUP(Table1[[#This Row],[item]],INDIRECT("'"&amp;Table1[[#This Row],[sheet]]&amp;"'!$A$8:$T$42"),Table1[[#This Row],[r]],FALSE)),"",VLOOKUP(Table1[[#This Row],[item]],INDIRECT("'"&amp;Table1[[#This Row],[sheet]]&amp;"'!$A$8:$T$42"),Table1[[#This Row],[r]],FALSE))</f>
        <v>475054.86454545456</v>
      </c>
      <c r="AE1104">
        <f>IF(VLOOKUP(Table1[[#This Row],[sheet]],Prg!$A$7:$J$31,10,FALSE)="","",VLOOKUP(Table1[[#This Row],[sheet]],Prg!$A$7:$J$31,10,FALSE)*1)</f>
        <v>1</v>
      </c>
      <c r="AF1104" t="str">
        <f>VLOOKUP(Table1[[#This Row],[sheet]],Prg!$A$7:$J$31,5,FALSE)</f>
        <v>CONGO (DEMOCRATIC REP.)</v>
      </c>
      <c r="AG1104">
        <f>ROW()</f>
        <v>1104</v>
      </c>
    </row>
    <row r="1105" spans="24:33" hidden="1" x14ac:dyDescent="0.25">
      <c r="X1105">
        <v>7</v>
      </c>
      <c r="Y1105" t="s">
        <v>709</v>
      </c>
      <c r="Z1105" t="s">
        <v>192</v>
      </c>
      <c r="AA1105" t="str">
        <f>IF(OR(VLOOKUP(Table1[[#This Row],[sheet]],Prg!$A$7:$F$31,6,FALSE)=Prg!$O$2,VLOOKUP(Table1[[#This Row],[sheet]],Prg!$A$7:$F$31,6,FALSE)=Prg!$O$3),"Yes","No")</f>
        <v>Yes</v>
      </c>
      <c r="AB1105">
        <v>2022</v>
      </c>
      <c r="AC1105">
        <v>15</v>
      </c>
      <c r="AD1105">
        <f ca="1">IF(ISERROR(VLOOKUP(Table1[[#This Row],[item]],INDIRECT("'"&amp;Table1[[#This Row],[sheet]]&amp;"'!$A$8:$T$42"),Table1[[#This Row],[r]],FALSE)),"",VLOOKUP(Table1[[#This Row],[item]],INDIRECT("'"&amp;Table1[[#This Row],[sheet]]&amp;"'!$A$8:$T$42"),Table1[[#This Row],[r]],FALSE))</f>
        <v>24236.62</v>
      </c>
      <c r="AE1105">
        <f>IF(VLOOKUP(Table1[[#This Row],[sheet]],Prg!$A$7:$J$31,10,FALSE)="","",VLOOKUP(Table1[[#This Row],[sheet]],Prg!$A$7:$J$31,10,FALSE)*1)</f>
        <v>1</v>
      </c>
      <c r="AF1105" t="str">
        <f>VLOOKUP(Table1[[#This Row],[sheet]],Prg!$A$7:$J$31,5,FALSE)</f>
        <v>CONGO (DEMOCRATIC REP.)</v>
      </c>
      <c r="AG1105">
        <f>ROW()</f>
        <v>1105</v>
      </c>
    </row>
    <row r="1106" spans="24:33" hidden="1" x14ac:dyDescent="0.25">
      <c r="X1106">
        <v>7</v>
      </c>
      <c r="Y1106" t="s">
        <v>774</v>
      </c>
      <c r="Z1106" t="s">
        <v>194</v>
      </c>
      <c r="AA1106" t="str">
        <f>IF(OR(VLOOKUP(Table1[[#This Row],[sheet]],Prg!$A$7:$F$31,6,FALSE)=Prg!$O$2,VLOOKUP(Table1[[#This Row],[sheet]],Prg!$A$7:$F$31,6,FALSE)=Prg!$O$3),"Yes","No")</f>
        <v>Yes</v>
      </c>
      <c r="AB1106">
        <v>2022</v>
      </c>
      <c r="AC1106">
        <v>15</v>
      </c>
      <c r="AD1106">
        <f ca="1">IF(ISERROR(VLOOKUP(Table1[[#This Row],[item]],INDIRECT("'"&amp;Table1[[#This Row],[sheet]]&amp;"'!$A$8:$T$42"),Table1[[#This Row],[r]],FALSE)),"",VLOOKUP(Table1[[#This Row],[item]],INDIRECT("'"&amp;Table1[[#This Row],[sheet]]&amp;"'!$A$8:$T$42"),Table1[[#This Row],[r]],FALSE))</f>
        <v>13500</v>
      </c>
      <c r="AE1106">
        <f>IF(VLOOKUP(Table1[[#This Row],[sheet]],Prg!$A$7:$J$31,10,FALSE)="","",VLOOKUP(Table1[[#This Row],[sheet]],Prg!$A$7:$J$31,10,FALSE)*1)</f>
        <v>1</v>
      </c>
      <c r="AF1106" t="str">
        <f>VLOOKUP(Table1[[#This Row],[sheet]],Prg!$A$7:$J$31,5,FALSE)</f>
        <v>CONGO (DEMOCRATIC REP.)</v>
      </c>
      <c r="AG1106">
        <f>ROW()</f>
        <v>1106</v>
      </c>
    </row>
    <row r="1107" spans="24:33" hidden="1" x14ac:dyDescent="0.25">
      <c r="X1107">
        <v>7</v>
      </c>
      <c r="Y1107" t="s">
        <v>775</v>
      </c>
      <c r="Z1107" t="s">
        <v>196</v>
      </c>
      <c r="AA1107" t="str">
        <f>IF(OR(VLOOKUP(Table1[[#This Row],[sheet]],Prg!$A$7:$F$31,6,FALSE)=Prg!$O$2,VLOOKUP(Table1[[#This Row],[sheet]],Prg!$A$7:$F$31,6,FALSE)=Prg!$O$3),"Yes","No")</f>
        <v>Yes</v>
      </c>
      <c r="AB1107">
        <v>2022</v>
      </c>
      <c r="AC1107">
        <v>15</v>
      </c>
      <c r="AD1107">
        <f ca="1">IF(ISERROR(VLOOKUP(Table1[[#This Row],[item]],INDIRECT("'"&amp;Table1[[#This Row],[sheet]]&amp;"'!$A$8:$T$42"),Table1[[#This Row],[r]],FALSE)),"",VLOOKUP(Table1[[#This Row],[item]],INDIRECT("'"&amp;Table1[[#This Row],[sheet]]&amp;"'!$A$8:$T$42"),Table1[[#This Row],[r]],FALSE))</f>
        <v>7096.62</v>
      </c>
      <c r="AE1107">
        <f>IF(VLOOKUP(Table1[[#This Row],[sheet]],Prg!$A$7:$J$31,10,FALSE)="","",VLOOKUP(Table1[[#This Row],[sheet]],Prg!$A$7:$J$31,10,FALSE)*1)</f>
        <v>1</v>
      </c>
      <c r="AF1107" t="str">
        <f>VLOOKUP(Table1[[#This Row],[sheet]],Prg!$A$7:$J$31,5,FALSE)</f>
        <v>CONGO (DEMOCRATIC REP.)</v>
      </c>
      <c r="AG1107">
        <f>ROW()</f>
        <v>1107</v>
      </c>
    </row>
    <row r="1108" spans="24:33" hidden="1" x14ac:dyDescent="0.25">
      <c r="X1108">
        <v>7</v>
      </c>
      <c r="Y1108" t="s">
        <v>776</v>
      </c>
      <c r="Z1108" t="s">
        <v>605</v>
      </c>
      <c r="AA1108" t="str">
        <f>IF(OR(VLOOKUP(Table1[[#This Row],[sheet]],Prg!$A$7:$F$31,6,FALSE)=Prg!$O$2,VLOOKUP(Table1[[#This Row],[sheet]],Prg!$A$7:$F$31,6,FALSE)=Prg!$O$3),"Yes","No")</f>
        <v>Yes</v>
      </c>
      <c r="AB1108">
        <v>2022</v>
      </c>
      <c r="AC1108">
        <v>15</v>
      </c>
      <c r="AD1108">
        <f ca="1">IF(ISERROR(VLOOKUP(Table1[[#This Row],[item]],INDIRECT("'"&amp;Table1[[#This Row],[sheet]]&amp;"'!$A$8:$T$42"),Table1[[#This Row],[r]],FALSE)),"",VLOOKUP(Table1[[#This Row],[item]],INDIRECT("'"&amp;Table1[[#This Row],[sheet]]&amp;"'!$A$8:$T$42"),Table1[[#This Row],[r]],FALSE))</f>
        <v>3640</v>
      </c>
      <c r="AE1108">
        <f>IF(VLOOKUP(Table1[[#This Row],[sheet]],Prg!$A$7:$J$31,10,FALSE)="","",VLOOKUP(Table1[[#This Row],[sheet]],Prg!$A$7:$J$31,10,FALSE)*1)</f>
        <v>1</v>
      </c>
      <c r="AF1108" t="str">
        <f>VLOOKUP(Table1[[#This Row],[sheet]],Prg!$A$7:$J$31,5,FALSE)</f>
        <v>CONGO (DEMOCRATIC REP.)</v>
      </c>
      <c r="AG1108">
        <f>ROW()</f>
        <v>1108</v>
      </c>
    </row>
    <row r="1109" spans="24:33" hidden="1" x14ac:dyDescent="0.25">
      <c r="X1109">
        <v>7</v>
      </c>
      <c r="Y1109" t="s">
        <v>711</v>
      </c>
      <c r="Z1109" t="s">
        <v>200</v>
      </c>
      <c r="AA1109" t="str">
        <f>IF(OR(VLOOKUP(Table1[[#This Row],[sheet]],Prg!$A$7:$F$31,6,FALSE)=Prg!$O$2,VLOOKUP(Table1[[#This Row],[sheet]],Prg!$A$7:$F$31,6,FALSE)=Prg!$O$3),"Yes","No")</f>
        <v>Yes</v>
      </c>
      <c r="AB1109">
        <v>2022</v>
      </c>
      <c r="AC1109">
        <v>15</v>
      </c>
      <c r="AD1109">
        <f ca="1">IF(ISERROR(VLOOKUP(Table1[[#This Row],[item]],INDIRECT("'"&amp;Table1[[#This Row],[sheet]]&amp;"'!$A$8:$T$42"),Table1[[#This Row],[r]],FALSE)),"",VLOOKUP(Table1[[#This Row],[item]],INDIRECT("'"&amp;Table1[[#This Row],[sheet]]&amp;"'!$A$8:$T$42"),Table1[[#This Row],[r]],FALSE))</f>
        <v>264095.80454545456</v>
      </c>
      <c r="AE1109">
        <f>IF(VLOOKUP(Table1[[#This Row],[sheet]],Prg!$A$7:$J$31,10,FALSE)="","",VLOOKUP(Table1[[#This Row],[sheet]],Prg!$A$7:$J$31,10,FALSE)*1)</f>
        <v>1</v>
      </c>
      <c r="AF1109" t="str">
        <f>VLOOKUP(Table1[[#This Row],[sheet]],Prg!$A$7:$J$31,5,FALSE)</f>
        <v>CONGO (DEMOCRATIC REP.)</v>
      </c>
      <c r="AG1109">
        <f>ROW()</f>
        <v>1109</v>
      </c>
    </row>
    <row r="1110" spans="24:33" hidden="1" x14ac:dyDescent="0.25">
      <c r="X1110">
        <v>7</v>
      </c>
      <c r="Y1110" t="s">
        <v>777</v>
      </c>
      <c r="Z1110" t="s">
        <v>202</v>
      </c>
      <c r="AA1110" t="str">
        <f>IF(OR(VLOOKUP(Table1[[#This Row],[sheet]],Prg!$A$7:$F$31,6,FALSE)=Prg!$O$2,VLOOKUP(Table1[[#This Row],[sheet]],Prg!$A$7:$F$31,6,FALSE)=Prg!$O$3),"Yes","No")</f>
        <v>Yes</v>
      </c>
      <c r="AB1110">
        <v>2022</v>
      </c>
      <c r="AC1110">
        <v>15</v>
      </c>
      <c r="AD1110">
        <f ca="1">IF(ISERROR(VLOOKUP(Table1[[#This Row],[item]],INDIRECT("'"&amp;Table1[[#This Row],[sheet]]&amp;"'!$A$8:$T$42"),Table1[[#This Row],[r]],FALSE)),"",VLOOKUP(Table1[[#This Row],[item]],INDIRECT("'"&amp;Table1[[#This Row],[sheet]]&amp;"'!$A$8:$T$42"),Table1[[#This Row],[r]],FALSE))</f>
        <v>47700.4</v>
      </c>
      <c r="AE1110">
        <f>IF(VLOOKUP(Table1[[#This Row],[sheet]],Prg!$A$7:$J$31,10,FALSE)="","",VLOOKUP(Table1[[#This Row],[sheet]],Prg!$A$7:$J$31,10,FALSE)*1)</f>
        <v>1</v>
      </c>
      <c r="AF1110" t="str">
        <f>VLOOKUP(Table1[[#This Row],[sheet]],Prg!$A$7:$J$31,5,FALSE)</f>
        <v>CONGO (DEMOCRATIC REP.)</v>
      </c>
      <c r="AG1110">
        <f>ROW()</f>
        <v>1110</v>
      </c>
    </row>
    <row r="1111" spans="24:33" hidden="1" x14ac:dyDescent="0.25">
      <c r="X1111">
        <v>7</v>
      </c>
      <c r="Y1111" t="s">
        <v>778</v>
      </c>
      <c r="Z1111" t="s">
        <v>204</v>
      </c>
      <c r="AA1111" t="str">
        <f>IF(OR(VLOOKUP(Table1[[#This Row],[sheet]],Prg!$A$7:$F$31,6,FALSE)=Prg!$O$2,VLOOKUP(Table1[[#This Row],[sheet]],Prg!$A$7:$F$31,6,FALSE)=Prg!$O$3),"Yes","No")</f>
        <v>Yes</v>
      </c>
      <c r="AB1111">
        <v>2022</v>
      </c>
      <c r="AC1111">
        <v>15</v>
      </c>
      <c r="AD1111">
        <f ca="1">IF(ISERROR(VLOOKUP(Table1[[#This Row],[item]],INDIRECT("'"&amp;Table1[[#This Row],[sheet]]&amp;"'!$A$8:$T$42"),Table1[[#This Row],[r]],FALSE)),"",VLOOKUP(Table1[[#This Row],[item]],INDIRECT("'"&amp;Table1[[#This Row],[sheet]]&amp;"'!$A$8:$T$42"),Table1[[#This Row],[r]],FALSE))</f>
        <v>44190.832727272733</v>
      </c>
      <c r="AE1111">
        <f>IF(VLOOKUP(Table1[[#This Row],[sheet]],Prg!$A$7:$J$31,10,FALSE)="","",VLOOKUP(Table1[[#This Row],[sheet]],Prg!$A$7:$J$31,10,FALSE)*1)</f>
        <v>1</v>
      </c>
      <c r="AF1111" t="str">
        <f>VLOOKUP(Table1[[#This Row],[sheet]],Prg!$A$7:$J$31,5,FALSE)</f>
        <v>CONGO (DEMOCRATIC REP.)</v>
      </c>
      <c r="AG1111">
        <f>ROW()</f>
        <v>1111</v>
      </c>
    </row>
    <row r="1112" spans="24:33" hidden="1" x14ac:dyDescent="0.25">
      <c r="X1112">
        <v>7</v>
      </c>
      <c r="Y1112" t="s">
        <v>779</v>
      </c>
      <c r="Z1112" t="s">
        <v>605</v>
      </c>
      <c r="AA1112" t="str">
        <f>IF(OR(VLOOKUP(Table1[[#This Row],[sheet]],Prg!$A$7:$F$31,6,FALSE)=Prg!$O$2,VLOOKUP(Table1[[#This Row],[sheet]],Prg!$A$7:$F$31,6,FALSE)=Prg!$O$3),"Yes","No")</f>
        <v>Yes</v>
      </c>
      <c r="AB1112">
        <v>2022</v>
      </c>
      <c r="AC1112">
        <v>15</v>
      </c>
      <c r="AD1112">
        <f ca="1">IF(ISERROR(VLOOKUP(Table1[[#This Row],[item]],INDIRECT("'"&amp;Table1[[#This Row],[sheet]]&amp;"'!$A$8:$T$42"),Table1[[#This Row],[r]],FALSE)),"",VLOOKUP(Table1[[#This Row],[item]],INDIRECT("'"&amp;Table1[[#This Row],[sheet]]&amp;"'!$A$8:$T$42"),Table1[[#This Row],[r]],FALSE))</f>
        <v>172204.57181818181</v>
      </c>
      <c r="AE1112">
        <f>IF(VLOOKUP(Table1[[#This Row],[sheet]],Prg!$A$7:$J$31,10,FALSE)="","",VLOOKUP(Table1[[#This Row],[sheet]],Prg!$A$7:$J$31,10,FALSE)*1)</f>
        <v>1</v>
      </c>
      <c r="AF1112" t="str">
        <f>VLOOKUP(Table1[[#This Row],[sheet]],Prg!$A$7:$J$31,5,FALSE)</f>
        <v>CONGO (DEMOCRATIC REP.)</v>
      </c>
      <c r="AG1112">
        <f>ROW()</f>
        <v>1112</v>
      </c>
    </row>
    <row r="1113" spans="24:33" hidden="1" x14ac:dyDescent="0.25">
      <c r="X1113">
        <v>7</v>
      </c>
      <c r="Y1113" t="s">
        <v>712</v>
      </c>
      <c r="Z1113" t="s">
        <v>780</v>
      </c>
      <c r="AA1113" t="str">
        <f>IF(OR(VLOOKUP(Table1[[#This Row],[sheet]],Prg!$A$7:$F$31,6,FALSE)=Prg!$O$2,VLOOKUP(Table1[[#This Row],[sheet]],Prg!$A$7:$F$31,6,FALSE)=Prg!$O$3),"Yes","No")</f>
        <v>Yes</v>
      </c>
      <c r="AB1113">
        <v>2022</v>
      </c>
      <c r="AC1113">
        <v>15</v>
      </c>
      <c r="AD1113">
        <f ca="1">IF(ISERROR(VLOOKUP(Table1[[#This Row],[item]],INDIRECT("'"&amp;Table1[[#This Row],[sheet]]&amp;"'!$A$8:$T$42"),Table1[[#This Row],[r]],FALSE)),"",VLOOKUP(Table1[[#This Row],[item]],INDIRECT("'"&amp;Table1[[#This Row],[sheet]]&amp;"'!$A$8:$T$42"),Table1[[#This Row],[r]],FALSE))</f>
        <v>186722.44</v>
      </c>
      <c r="AE1113">
        <f>IF(VLOOKUP(Table1[[#This Row],[sheet]],Prg!$A$7:$J$31,10,FALSE)="","",VLOOKUP(Table1[[#This Row],[sheet]],Prg!$A$7:$J$31,10,FALSE)*1)</f>
        <v>1</v>
      </c>
      <c r="AF1113" t="str">
        <f>VLOOKUP(Table1[[#This Row],[sheet]],Prg!$A$7:$J$31,5,FALSE)</f>
        <v>CONGO (DEMOCRATIC REP.)</v>
      </c>
      <c r="AG1113">
        <f>ROW()</f>
        <v>1113</v>
      </c>
    </row>
    <row r="1114" spans="24:33" hidden="1" x14ac:dyDescent="0.25">
      <c r="X1114">
        <v>7</v>
      </c>
      <c r="Y1114" t="s">
        <v>781</v>
      </c>
      <c r="Z1114" t="s">
        <v>782</v>
      </c>
      <c r="AA1114" t="str">
        <f>IF(OR(VLOOKUP(Table1[[#This Row],[sheet]],Prg!$A$7:$F$31,6,FALSE)=Prg!$O$2,VLOOKUP(Table1[[#This Row],[sheet]],Prg!$A$7:$F$31,6,FALSE)=Prg!$O$3),"Yes","No")</f>
        <v>Yes</v>
      </c>
      <c r="AB1114">
        <v>2022</v>
      </c>
      <c r="AC1114">
        <v>15</v>
      </c>
      <c r="AD1114">
        <f ca="1">IF(ISERROR(VLOOKUP(Table1[[#This Row],[item]],INDIRECT("'"&amp;Table1[[#This Row],[sheet]]&amp;"'!$A$8:$T$42"),Table1[[#This Row],[r]],FALSE)),"",VLOOKUP(Table1[[#This Row],[item]],INDIRECT("'"&amp;Table1[[#This Row],[sheet]]&amp;"'!$A$8:$T$42"),Table1[[#This Row],[r]],FALSE))</f>
        <v>0</v>
      </c>
      <c r="AE1114">
        <f>IF(VLOOKUP(Table1[[#This Row],[sheet]],Prg!$A$7:$J$31,10,FALSE)="","",VLOOKUP(Table1[[#This Row],[sheet]],Prg!$A$7:$J$31,10,FALSE)*1)</f>
        <v>1</v>
      </c>
      <c r="AF1114" t="str">
        <f>VLOOKUP(Table1[[#This Row],[sheet]],Prg!$A$7:$J$31,5,FALSE)</f>
        <v>CONGO (DEMOCRATIC REP.)</v>
      </c>
      <c r="AG1114">
        <f>ROW()</f>
        <v>1114</v>
      </c>
    </row>
    <row r="1115" spans="24:33" hidden="1" x14ac:dyDescent="0.25">
      <c r="X1115">
        <v>7</v>
      </c>
      <c r="Y1115" t="s">
        <v>783</v>
      </c>
      <c r="Z1115" t="s">
        <v>784</v>
      </c>
      <c r="AA1115" t="str">
        <f>IF(OR(VLOOKUP(Table1[[#This Row],[sheet]],Prg!$A$7:$F$31,6,FALSE)=Prg!$O$2,VLOOKUP(Table1[[#This Row],[sheet]],Prg!$A$7:$F$31,6,FALSE)=Prg!$O$3),"Yes","No")</f>
        <v>Yes</v>
      </c>
      <c r="AB1115">
        <v>2022</v>
      </c>
      <c r="AC1115">
        <v>15</v>
      </c>
      <c r="AD1115">
        <f ca="1">IF(ISERROR(VLOOKUP(Table1[[#This Row],[item]],INDIRECT("'"&amp;Table1[[#This Row],[sheet]]&amp;"'!$A$8:$T$42"),Table1[[#This Row],[r]],FALSE)),"",VLOOKUP(Table1[[#This Row],[item]],INDIRECT("'"&amp;Table1[[#This Row],[sheet]]&amp;"'!$A$8:$T$42"),Table1[[#This Row],[r]],FALSE))</f>
        <v>22142.35</v>
      </c>
      <c r="AE1115">
        <f>IF(VLOOKUP(Table1[[#This Row],[sheet]],Prg!$A$7:$J$31,10,FALSE)="","",VLOOKUP(Table1[[#This Row],[sheet]],Prg!$A$7:$J$31,10,FALSE)*1)</f>
        <v>1</v>
      </c>
      <c r="AF1115" t="str">
        <f>VLOOKUP(Table1[[#This Row],[sheet]],Prg!$A$7:$J$31,5,FALSE)</f>
        <v>CONGO (DEMOCRATIC REP.)</v>
      </c>
      <c r="AG1115">
        <f>ROW()</f>
        <v>1115</v>
      </c>
    </row>
    <row r="1116" spans="24:33" hidden="1" x14ac:dyDescent="0.25">
      <c r="X1116">
        <v>7</v>
      </c>
      <c r="Y1116" t="s">
        <v>785</v>
      </c>
      <c r="Z1116" t="s">
        <v>786</v>
      </c>
      <c r="AA1116" t="str">
        <f>IF(OR(VLOOKUP(Table1[[#This Row],[sheet]],Prg!$A$7:$F$31,6,FALSE)=Prg!$O$2,VLOOKUP(Table1[[#This Row],[sheet]],Prg!$A$7:$F$31,6,FALSE)=Prg!$O$3),"Yes","No")</f>
        <v>Yes</v>
      </c>
      <c r="AB1116">
        <v>2022</v>
      </c>
      <c r="AC1116">
        <v>15</v>
      </c>
      <c r="AD1116">
        <f ca="1">IF(ISERROR(VLOOKUP(Table1[[#This Row],[item]],INDIRECT("'"&amp;Table1[[#This Row],[sheet]]&amp;"'!$A$8:$T$42"),Table1[[#This Row],[r]],FALSE)),"",VLOOKUP(Table1[[#This Row],[item]],INDIRECT("'"&amp;Table1[[#This Row],[sheet]]&amp;"'!$A$8:$T$42"),Table1[[#This Row],[r]],FALSE))</f>
        <v>164580.09</v>
      </c>
      <c r="AE1116">
        <f>IF(VLOOKUP(Table1[[#This Row],[sheet]],Prg!$A$7:$J$31,10,FALSE)="","",VLOOKUP(Table1[[#This Row],[sheet]],Prg!$A$7:$J$31,10,FALSE)*1)</f>
        <v>1</v>
      </c>
      <c r="AF1116" t="str">
        <f>VLOOKUP(Table1[[#This Row],[sheet]],Prg!$A$7:$J$31,5,FALSE)</f>
        <v>CONGO (DEMOCRATIC REP.)</v>
      </c>
      <c r="AG1116">
        <f>ROW()</f>
        <v>1116</v>
      </c>
    </row>
    <row r="1117" spans="24:33" hidden="1" x14ac:dyDescent="0.25">
      <c r="X1117">
        <v>7</v>
      </c>
      <c r="Y1117" t="s">
        <v>787</v>
      </c>
      <c r="Z1117" t="s">
        <v>633</v>
      </c>
      <c r="AA1117" t="str">
        <f>IF(OR(VLOOKUP(Table1[[#This Row],[sheet]],Prg!$A$7:$F$31,6,FALSE)=Prg!$O$2,VLOOKUP(Table1[[#This Row],[sheet]],Prg!$A$7:$F$31,6,FALSE)=Prg!$O$3),"Yes","No")</f>
        <v>Yes</v>
      </c>
      <c r="AB1117">
        <v>2022</v>
      </c>
      <c r="AC1117">
        <v>15</v>
      </c>
      <c r="AD1117">
        <f ca="1">IF(ISERROR(VLOOKUP(Table1[[#This Row],[item]],INDIRECT("'"&amp;Table1[[#This Row],[sheet]]&amp;"'!$A$8:$T$42"),Table1[[#This Row],[r]],FALSE)),"",VLOOKUP(Table1[[#This Row],[item]],INDIRECT("'"&amp;Table1[[#This Row],[sheet]]&amp;"'!$A$8:$T$42"),Table1[[#This Row],[r]],FALSE))</f>
        <v>0</v>
      </c>
      <c r="AE1117">
        <f>IF(VLOOKUP(Table1[[#This Row],[sheet]],Prg!$A$7:$J$31,10,FALSE)="","",VLOOKUP(Table1[[#This Row],[sheet]],Prg!$A$7:$J$31,10,FALSE)*1)</f>
        <v>1</v>
      </c>
      <c r="AF1117" t="str">
        <f>VLOOKUP(Table1[[#This Row],[sheet]],Prg!$A$7:$J$31,5,FALSE)</f>
        <v>CONGO (DEMOCRATIC REP.)</v>
      </c>
      <c r="AG1117">
        <f>ROW()</f>
        <v>1117</v>
      </c>
    </row>
    <row r="1118" spans="24:33" hidden="1" x14ac:dyDescent="0.25">
      <c r="X1118">
        <v>7</v>
      </c>
      <c r="Y1118" t="s">
        <v>753</v>
      </c>
      <c r="Z1118" t="s">
        <v>162</v>
      </c>
      <c r="AA1118" t="str">
        <f>IF(OR(VLOOKUP(Table1[[#This Row],[sheet]],Prg!$A$7:$F$31,6,FALSE)=Prg!$O$2,VLOOKUP(Table1[[#This Row],[sheet]],Prg!$A$7:$F$31,6,FALSE)=Prg!$O$3),"Yes","No")</f>
        <v>Yes</v>
      </c>
      <c r="AB1118">
        <v>2023</v>
      </c>
      <c r="AC1118">
        <v>16</v>
      </c>
      <c r="AD1118">
        <f ca="1">IF(ISERROR(VLOOKUP(Table1[[#This Row],[item]],INDIRECT("'"&amp;Table1[[#This Row],[sheet]]&amp;"'!$A$8:$T$42"),Table1[[#This Row],[r]],FALSE)),"",VLOOKUP(Table1[[#This Row],[item]],INDIRECT("'"&amp;Table1[[#This Row],[sheet]]&amp;"'!$A$8:$T$42"),Table1[[#This Row],[r]],FALSE))</f>
        <v>288215.32454545499</v>
      </c>
      <c r="AE1118">
        <f>IF(VLOOKUP(Table1[[#This Row],[sheet]],Prg!$A$7:$J$31,10,FALSE)="","",VLOOKUP(Table1[[#This Row],[sheet]],Prg!$A$7:$J$31,10,FALSE)*1)</f>
        <v>1</v>
      </c>
      <c r="AF1118" t="str">
        <f>VLOOKUP(Table1[[#This Row],[sheet]],Prg!$A$7:$J$31,5,FALSE)</f>
        <v>CONGO (DEMOCRATIC REP.)</v>
      </c>
      <c r="AG1118">
        <f>ROW()</f>
        <v>1118</v>
      </c>
    </row>
    <row r="1119" spans="24:33" hidden="1" x14ac:dyDescent="0.25">
      <c r="X1119">
        <v>7</v>
      </c>
      <c r="Y1119" t="s">
        <v>754</v>
      </c>
      <c r="Z1119" t="s">
        <v>164</v>
      </c>
      <c r="AA1119" t="str">
        <f>IF(OR(VLOOKUP(Table1[[#This Row],[sheet]],Prg!$A$7:$F$31,6,FALSE)=Prg!$O$2,VLOOKUP(Table1[[#This Row],[sheet]],Prg!$A$7:$F$31,6,FALSE)=Prg!$O$3),"Yes","No")</f>
        <v>Yes</v>
      </c>
      <c r="AB1119">
        <v>2023</v>
      </c>
      <c r="AC1119">
        <v>16</v>
      </c>
      <c r="AD1119">
        <f ca="1">IF(ISERROR(VLOOKUP(Table1[[#This Row],[item]],INDIRECT("'"&amp;Table1[[#This Row],[sheet]]&amp;"'!$A$8:$T$42"),Table1[[#This Row],[r]],FALSE)),"",VLOOKUP(Table1[[#This Row],[item]],INDIRECT("'"&amp;Table1[[#This Row],[sheet]]&amp;"'!$A$8:$T$42"),Table1[[#This Row],[r]],FALSE))</f>
        <v>0</v>
      </c>
      <c r="AE1119">
        <f>IF(VLOOKUP(Table1[[#This Row],[sheet]],Prg!$A$7:$J$31,10,FALSE)="","",VLOOKUP(Table1[[#This Row],[sheet]],Prg!$A$7:$J$31,10,FALSE)*1)</f>
        <v>1</v>
      </c>
      <c r="AF1119" t="str">
        <f>VLOOKUP(Table1[[#This Row],[sheet]],Prg!$A$7:$J$31,5,FALSE)</f>
        <v>CONGO (DEMOCRATIC REP.)</v>
      </c>
      <c r="AG1119">
        <f>ROW()</f>
        <v>1119</v>
      </c>
    </row>
    <row r="1120" spans="24:33" hidden="1" x14ac:dyDescent="0.25">
      <c r="X1120">
        <v>7</v>
      </c>
      <c r="Y1120" t="s">
        <v>755</v>
      </c>
      <c r="Z1120" t="s">
        <v>166</v>
      </c>
      <c r="AA1120" t="str">
        <f>IF(OR(VLOOKUP(Table1[[#This Row],[sheet]],Prg!$A$7:$F$31,6,FALSE)=Prg!$O$2,VLOOKUP(Table1[[#This Row],[sheet]],Prg!$A$7:$F$31,6,FALSE)=Prg!$O$3),"Yes","No")</f>
        <v>Yes</v>
      </c>
      <c r="AB1120">
        <v>2023</v>
      </c>
      <c r="AC1120">
        <v>16</v>
      </c>
      <c r="AD1120">
        <f ca="1">IF(ISERROR(VLOOKUP(Table1[[#This Row],[item]],INDIRECT("'"&amp;Table1[[#This Row],[sheet]]&amp;"'!$A$8:$T$42"),Table1[[#This Row],[r]],FALSE)),"",VLOOKUP(Table1[[#This Row],[item]],INDIRECT("'"&amp;Table1[[#This Row],[sheet]]&amp;"'!$A$8:$T$42"),Table1[[#This Row],[r]],FALSE))</f>
        <v>219929.32454545499</v>
      </c>
      <c r="AE1120">
        <f>IF(VLOOKUP(Table1[[#This Row],[sheet]],Prg!$A$7:$J$31,10,FALSE)="","",VLOOKUP(Table1[[#This Row],[sheet]],Prg!$A$7:$J$31,10,FALSE)*1)</f>
        <v>1</v>
      </c>
      <c r="AF1120" t="str">
        <f>VLOOKUP(Table1[[#This Row],[sheet]],Prg!$A$7:$J$31,5,FALSE)</f>
        <v>CONGO (DEMOCRATIC REP.)</v>
      </c>
      <c r="AG1120">
        <f>ROW()</f>
        <v>1120</v>
      </c>
    </row>
    <row r="1121" spans="24:33" hidden="1" x14ac:dyDescent="0.25">
      <c r="X1121">
        <v>7</v>
      </c>
      <c r="Y1121" t="s">
        <v>756</v>
      </c>
      <c r="Z1121" t="s">
        <v>757</v>
      </c>
      <c r="AA1121" t="str">
        <f>IF(OR(VLOOKUP(Table1[[#This Row],[sheet]],Prg!$A$7:$F$31,6,FALSE)=Prg!$O$2,VLOOKUP(Table1[[#This Row],[sheet]],Prg!$A$7:$F$31,6,FALSE)=Prg!$O$3),"Yes","No")</f>
        <v>Yes</v>
      </c>
      <c r="AB1121">
        <v>2023</v>
      </c>
      <c r="AC1121">
        <v>16</v>
      </c>
      <c r="AD1121">
        <f ca="1">IF(ISERROR(VLOOKUP(Table1[[#This Row],[item]],INDIRECT("'"&amp;Table1[[#This Row],[sheet]]&amp;"'!$A$8:$T$42"),Table1[[#This Row],[r]],FALSE)),"",VLOOKUP(Table1[[#This Row],[item]],INDIRECT("'"&amp;Table1[[#This Row],[sheet]]&amp;"'!$A$8:$T$42"),Table1[[#This Row],[r]],FALSE))</f>
        <v>68286</v>
      </c>
      <c r="AE1121">
        <f>IF(VLOOKUP(Table1[[#This Row],[sheet]],Prg!$A$7:$J$31,10,FALSE)="","",VLOOKUP(Table1[[#This Row],[sheet]],Prg!$A$7:$J$31,10,FALSE)*1)</f>
        <v>1</v>
      </c>
      <c r="AF1121" t="str">
        <f>VLOOKUP(Table1[[#This Row],[sheet]],Prg!$A$7:$J$31,5,FALSE)</f>
        <v>CONGO (DEMOCRATIC REP.)</v>
      </c>
      <c r="AG1121">
        <f>ROW()</f>
        <v>1121</v>
      </c>
    </row>
    <row r="1122" spans="24:33" hidden="1" x14ac:dyDescent="0.25">
      <c r="X1122">
        <v>7</v>
      </c>
      <c r="Y1122" t="s">
        <v>758</v>
      </c>
      <c r="Z1122" t="s">
        <v>170</v>
      </c>
      <c r="AA1122" t="str">
        <f>IF(OR(VLOOKUP(Table1[[#This Row],[sheet]],Prg!$A$7:$F$31,6,FALSE)=Prg!$O$2,VLOOKUP(Table1[[#This Row],[sheet]],Prg!$A$7:$F$31,6,FALSE)=Prg!$O$3),"Yes","No")</f>
        <v>Yes</v>
      </c>
      <c r="AB1122">
        <v>2023</v>
      </c>
      <c r="AC1122">
        <v>16</v>
      </c>
      <c r="AD1122">
        <f ca="1">IF(ISERROR(VLOOKUP(Table1[[#This Row],[item]],INDIRECT("'"&amp;Table1[[#This Row],[sheet]]&amp;"'!$A$8:$T$42"),Table1[[#This Row],[r]],FALSE)),"",VLOOKUP(Table1[[#This Row],[item]],INDIRECT("'"&amp;Table1[[#This Row],[sheet]]&amp;"'!$A$8:$T$42"),Table1[[#This Row],[r]],FALSE))</f>
        <v>10017.18</v>
      </c>
      <c r="AE1122">
        <f>IF(VLOOKUP(Table1[[#This Row],[sheet]],Prg!$A$7:$J$31,10,FALSE)="","",VLOOKUP(Table1[[#This Row],[sheet]],Prg!$A$7:$J$31,10,FALSE)*1)</f>
        <v>1</v>
      </c>
      <c r="AF1122" t="str">
        <f>VLOOKUP(Table1[[#This Row],[sheet]],Prg!$A$7:$J$31,5,FALSE)</f>
        <v>CONGO (DEMOCRATIC REP.)</v>
      </c>
      <c r="AG1122">
        <f>ROW()</f>
        <v>1122</v>
      </c>
    </row>
    <row r="1123" spans="24:33" hidden="1" x14ac:dyDescent="0.25">
      <c r="X1123">
        <v>7</v>
      </c>
      <c r="Y1123" t="s">
        <v>759</v>
      </c>
      <c r="Z1123" t="s">
        <v>172</v>
      </c>
      <c r="AA1123" t="str">
        <f>IF(OR(VLOOKUP(Table1[[#This Row],[sheet]],Prg!$A$7:$F$31,6,FALSE)=Prg!$O$2,VLOOKUP(Table1[[#This Row],[sheet]],Prg!$A$7:$F$31,6,FALSE)=Prg!$O$3),"Yes","No")</f>
        <v>Yes</v>
      </c>
      <c r="AB1123">
        <v>2023</v>
      </c>
      <c r="AC1123">
        <v>16</v>
      </c>
      <c r="AD1123">
        <f ca="1">IF(ISERROR(VLOOKUP(Table1[[#This Row],[item]],INDIRECT("'"&amp;Table1[[#This Row],[sheet]]&amp;"'!$A$8:$T$42"),Table1[[#This Row],[r]],FALSE)),"",VLOOKUP(Table1[[#This Row],[item]],INDIRECT("'"&amp;Table1[[#This Row],[sheet]]&amp;"'!$A$8:$T$42"),Table1[[#This Row],[r]],FALSE))</f>
        <v>0</v>
      </c>
      <c r="AE1123">
        <f>IF(VLOOKUP(Table1[[#This Row],[sheet]],Prg!$A$7:$J$31,10,FALSE)="","",VLOOKUP(Table1[[#This Row],[sheet]],Prg!$A$7:$J$31,10,FALSE)*1)</f>
        <v>1</v>
      </c>
      <c r="AF1123" t="str">
        <f>VLOOKUP(Table1[[#This Row],[sheet]],Prg!$A$7:$J$31,5,FALSE)</f>
        <v>CONGO (DEMOCRATIC REP.)</v>
      </c>
      <c r="AG1123">
        <f>ROW()</f>
        <v>1123</v>
      </c>
    </row>
    <row r="1124" spans="24:33" hidden="1" x14ac:dyDescent="0.25">
      <c r="X1124">
        <v>7</v>
      </c>
      <c r="Y1124" t="s">
        <v>760</v>
      </c>
      <c r="Z1124" t="s">
        <v>174</v>
      </c>
      <c r="AA1124" t="str">
        <f>IF(OR(VLOOKUP(Table1[[#This Row],[sheet]],Prg!$A$7:$F$31,6,FALSE)=Prg!$O$2,VLOOKUP(Table1[[#This Row],[sheet]],Prg!$A$7:$F$31,6,FALSE)=Prg!$O$3),"Yes","No")</f>
        <v>Yes</v>
      </c>
      <c r="AB1124">
        <v>2023</v>
      </c>
      <c r="AC1124">
        <v>16</v>
      </c>
      <c r="AD1124">
        <f ca="1">IF(ISERROR(VLOOKUP(Table1[[#This Row],[item]],INDIRECT("'"&amp;Table1[[#This Row],[sheet]]&amp;"'!$A$8:$T$42"),Table1[[#This Row],[r]],FALSE)),"",VLOOKUP(Table1[[#This Row],[item]],INDIRECT("'"&amp;Table1[[#This Row],[sheet]]&amp;"'!$A$8:$T$42"),Table1[[#This Row],[r]],FALSE))</f>
        <v>7767.18</v>
      </c>
      <c r="AE1124">
        <f>IF(VLOOKUP(Table1[[#This Row],[sheet]],Prg!$A$7:$J$31,10,FALSE)="","",VLOOKUP(Table1[[#This Row],[sheet]],Prg!$A$7:$J$31,10,FALSE)*1)</f>
        <v>1</v>
      </c>
      <c r="AF1124" t="str">
        <f>VLOOKUP(Table1[[#This Row],[sheet]],Prg!$A$7:$J$31,5,FALSE)</f>
        <v>CONGO (DEMOCRATIC REP.)</v>
      </c>
      <c r="AG1124">
        <f>ROW()</f>
        <v>1124</v>
      </c>
    </row>
    <row r="1125" spans="24:33" hidden="1" x14ac:dyDescent="0.25">
      <c r="X1125">
        <v>7</v>
      </c>
      <c r="Y1125" t="s">
        <v>761</v>
      </c>
      <c r="Z1125" t="s">
        <v>762</v>
      </c>
      <c r="AA1125" t="str">
        <f>IF(OR(VLOOKUP(Table1[[#This Row],[sheet]],Prg!$A$7:$F$31,6,FALSE)=Prg!$O$2,VLOOKUP(Table1[[#This Row],[sheet]],Prg!$A$7:$F$31,6,FALSE)=Prg!$O$3),"Yes","No")</f>
        <v>Yes</v>
      </c>
      <c r="AB1125">
        <v>2023</v>
      </c>
      <c r="AC1125">
        <v>16</v>
      </c>
      <c r="AD1125">
        <f ca="1">IF(ISERROR(VLOOKUP(Table1[[#This Row],[item]],INDIRECT("'"&amp;Table1[[#This Row],[sheet]]&amp;"'!$A$8:$T$42"),Table1[[#This Row],[r]],FALSE)),"",VLOOKUP(Table1[[#This Row],[item]],INDIRECT("'"&amp;Table1[[#This Row],[sheet]]&amp;"'!$A$8:$T$42"),Table1[[#This Row],[r]],FALSE))</f>
        <v>2250</v>
      </c>
      <c r="AE1125">
        <f>IF(VLOOKUP(Table1[[#This Row],[sheet]],Prg!$A$7:$J$31,10,FALSE)="","",VLOOKUP(Table1[[#This Row],[sheet]],Prg!$A$7:$J$31,10,FALSE)*1)</f>
        <v>1</v>
      </c>
      <c r="AF1125" t="str">
        <f>VLOOKUP(Table1[[#This Row],[sheet]],Prg!$A$7:$J$31,5,FALSE)</f>
        <v>CONGO (DEMOCRATIC REP.)</v>
      </c>
      <c r="AG1125">
        <f>ROW()</f>
        <v>1125</v>
      </c>
    </row>
    <row r="1126" spans="24:33" hidden="1" x14ac:dyDescent="0.25">
      <c r="X1126">
        <v>7</v>
      </c>
      <c r="Y1126" t="s">
        <v>763</v>
      </c>
      <c r="Z1126" t="s">
        <v>178</v>
      </c>
      <c r="AA1126" t="str">
        <f>IF(OR(VLOOKUP(Table1[[#This Row],[sheet]],Prg!$A$7:$F$31,6,FALSE)=Prg!$O$2,VLOOKUP(Table1[[#This Row],[sheet]],Prg!$A$7:$F$31,6,FALSE)=Prg!$O$3),"Yes","No")</f>
        <v>Yes</v>
      </c>
      <c r="AB1126">
        <v>2023</v>
      </c>
      <c r="AC1126">
        <v>16</v>
      </c>
      <c r="AD1126">
        <f ca="1">IF(ISERROR(VLOOKUP(Table1[[#This Row],[item]],INDIRECT("'"&amp;Table1[[#This Row],[sheet]]&amp;"'!$A$8:$T$42"),Table1[[#This Row],[r]],FALSE)),"",VLOOKUP(Table1[[#This Row],[item]],INDIRECT("'"&amp;Table1[[#This Row],[sheet]]&amp;"'!$A$8:$T$42"),Table1[[#This Row],[r]],FALSE))</f>
        <v>160535.28</v>
      </c>
      <c r="AE1126">
        <f>IF(VLOOKUP(Table1[[#This Row],[sheet]],Prg!$A$7:$J$31,10,FALSE)="","",VLOOKUP(Table1[[#This Row],[sheet]],Prg!$A$7:$J$31,10,FALSE)*1)</f>
        <v>1</v>
      </c>
      <c r="AF1126" t="str">
        <f>VLOOKUP(Table1[[#This Row],[sheet]],Prg!$A$7:$J$31,5,FALSE)</f>
        <v>CONGO (DEMOCRATIC REP.)</v>
      </c>
      <c r="AG1126">
        <f>ROW()</f>
        <v>1126</v>
      </c>
    </row>
    <row r="1127" spans="24:33" hidden="1" x14ac:dyDescent="0.25">
      <c r="X1127">
        <v>7</v>
      </c>
      <c r="Y1127" t="s">
        <v>764</v>
      </c>
      <c r="Z1127" t="s">
        <v>109</v>
      </c>
      <c r="AA1127" t="str">
        <f>IF(OR(VLOOKUP(Table1[[#This Row],[sheet]],Prg!$A$7:$F$31,6,FALSE)=Prg!$O$2,VLOOKUP(Table1[[#This Row],[sheet]],Prg!$A$7:$F$31,6,FALSE)=Prg!$O$3),"Yes","No")</f>
        <v>Yes</v>
      </c>
      <c r="AB1127">
        <v>2023</v>
      </c>
      <c r="AC1127">
        <v>16</v>
      </c>
      <c r="AD1127">
        <f ca="1">IF(ISERROR(VLOOKUP(Table1[[#This Row],[item]],INDIRECT("'"&amp;Table1[[#This Row],[sheet]]&amp;"'!$A$8:$T$42"),Table1[[#This Row],[r]],FALSE)),"",VLOOKUP(Table1[[#This Row],[item]],INDIRECT("'"&amp;Table1[[#This Row],[sheet]]&amp;"'!$A$8:$T$42"),Table1[[#This Row],[r]],FALSE))</f>
        <v>0</v>
      </c>
      <c r="AE1127">
        <f>IF(VLOOKUP(Table1[[#This Row],[sheet]],Prg!$A$7:$J$31,10,FALSE)="","",VLOOKUP(Table1[[#This Row],[sheet]],Prg!$A$7:$J$31,10,FALSE)*1)</f>
        <v>1</v>
      </c>
      <c r="AF1127" t="str">
        <f>VLOOKUP(Table1[[#This Row],[sheet]],Prg!$A$7:$J$31,5,FALSE)</f>
        <v>CONGO (DEMOCRATIC REP.)</v>
      </c>
      <c r="AG1127">
        <f>ROW()</f>
        <v>1127</v>
      </c>
    </row>
    <row r="1128" spans="24:33" hidden="1" x14ac:dyDescent="0.25">
      <c r="X1128">
        <v>7</v>
      </c>
      <c r="Y1128" t="s">
        <v>765</v>
      </c>
      <c r="Z1128" t="s">
        <v>117</v>
      </c>
      <c r="AA1128" t="str">
        <f>IF(OR(VLOOKUP(Table1[[#This Row],[sheet]],Prg!$A$7:$F$31,6,FALSE)=Prg!$O$2,VLOOKUP(Table1[[#This Row],[sheet]],Prg!$A$7:$F$31,6,FALSE)=Prg!$O$3),"Yes","No")</f>
        <v>Yes</v>
      </c>
      <c r="AB1128">
        <v>2023</v>
      </c>
      <c r="AC1128">
        <v>16</v>
      </c>
      <c r="AD1128">
        <f ca="1">IF(ISERROR(VLOOKUP(Table1[[#This Row],[item]],INDIRECT("'"&amp;Table1[[#This Row],[sheet]]&amp;"'!$A$8:$T$42"),Table1[[#This Row],[r]],FALSE)),"",VLOOKUP(Table1[[#This Row],[item]],INDIRECT("'"&amp;Table1[[#This Row],[sheet]]&amp;"'!$A$8:$T$42"),Table1[[#This Row],[r]],FALSE))</f>
        <v>44348.84</v>
      </c>
      <c r="AE1128">
        <f>IF(VLOOKUP(Table1[[#This Row],[sheet]],Prg!$A$7:$J$31,10,FALSE)="","",VLOOKUP(Table1[[#This Row],[sheet]],Prg!$A$7:$J$31,10,FALSE)*1)</f>
        <v>1</v>
      </c>
      <c r="AF1128" t="str">
        <f>VLOOKUP(Table1[[#This Row],[sheet]],Prg!$A$7:$J$31,5,FALSE)</f>
        <v>CONGO (DEMOCRATIC REP.)</v>
      </c>
      <c r="AG1128">
        <f>ROW()</f>
        <v>1128</v>
      </c>
    </row>
    <row r="1129" spans="24:33" hidden="1" x14ac:dyDescent="0.25">
      <c r="X1129">
        <v>7</v>
      </c>
      <c r="Y1129" t="s">
        <v>766</v>
      </c>
      <c r="Z1129" t="s">
        <v>767</v>
      </c>
      <c r="AA1129" t="str">
        <f>IF(OR(VLOOKUP(Table1[[#This Row],[sheet]],Prg!$A$7:$F$31,6,FALSE)=Prg!$O$2,VLOOKUP(Table1[[#This Row],[sheet]],Prg!$A$7:$F$31,6,FALSE)=Prg!$O$3),"Yes","No")</f>
        <v>Yes</v>
      </c>
      <c r="AB1129">
        <v>2023</v>
      </c>
      <c r="AC1129">
        <v>16</v>
      </c>
      <c r="AD1129">
        <f ca="1">IF(ISERROR(VLOOKUP(Table1[[#This Row],[item]],INDIRECT("'"&amp;Table1[[#This Row],[sheet]]&amp;"'!$A$8:$T$42"),Table1[[#This Row],[r]],FALSE)),"",VLOOKUP(Table1[[#This Row],[item]],INDIRECT("'"&amp;Table1[[#This Row],[sheet]]&amp;"'!$A$8:$T$42"),Table1[[#This Row],[r]],FALSE))</f>
        <v>116186.44</v>
      </c>
      <c r="AE1129">
        <f>IF(VLOOKUP(Table1[[#This Row],[sheet]],Prg!$A$7:$J$31,10,FALSE)="","",VLOOKUP(Table1[[#This Row],[sheet]],Prg!$A$7:$J$31,10,FALSE)*1)</f>
        <v>1</v>
      </c>
      <c r="AF1129" t="str">
        <f>VLOOKUP(Table1[[#This Row],[sheet]],Prg!$A$7:$J$31,5,FALSE)</f>
        <v>CONGO (DEMOCRATIC REP.)</v>
      </c>
      <c r="AG1129">
        <f>ROW()</f>
        <v>1129</v>
      </c>
    </row>
    <row r="1130" spans="24:33" hidden="1" x14ac:dyDescent="0.25">
      <c r="X1130">
        <v>7</v>
      </c>
      <c r="Y1130" t="s">
        <v>768</v>
      </c>
      <c r="Z1130" t="s">
        <v>182</v>
      </c>
      <c r="AA1130" t="str">
        <f>IF(OR(VLOOKUP(Table1[[#This Row],[sheet]],Prg!$A$7:$F$31,6,FALSE)=Prg!$O$2,VLOOKUP(Table1[[#This Row],[sheet]],Prg!$A$7:$F$31,6,FALSE)=Prg!$O$3),"Yes","No")</f>
        <v>Yes</v>
      </c>
      <c r="AB1130">
        <v>2023</v>
      </c>
      <c r="AC1130">
        <v>16</v>
      </c>
      <c r="AD1130">
        <f ca="1">IF(ISERROR(VLOOKUP(Table1[[#This Row],[item]],INDIRECT("'"&amp;Table1[[#This Row],[sheet]]&amp;"'!$A$8:$T$42"),Table1[[#This Row],[r]],FALSE)),"",VLOOKUP(Table1[[#This Row],[item]],INDIRECT("'"&amp;Table1[[#This Row],[sheet]]&amp;"'!$A$8:$T$42"),Table1[[#This Row],[r]],FALSE))</f>
        <v>4000</v>
      </c>
      <c r="AE1130">
        <f>IF(VLOOKUP(Table1[[#This Row],[sheet]],Prg!$A$7:$J$31,10,FALSE)="","",VLOOKUP(Table1[[#This Row],[sheet]],Prg!$A$7:$J$31,10,FALSE)*1)</f>
        <v>1</v>
      </c>
      <c r="AF1130" t="str">
        <f>VLOOKUP(Table1[[#This Row],[sheet]],Prg!$A$7:$J$31,5,FALSE)</f>
        <v>CONGO (DEMOCRATIC REP.)</v>
      </c>
      <c r="AG1130">
        <f>ROW()</f>
        <v>1130</v>
      </c>
    </row>
    <row r="1131" spans="24:33" hidden="1" x14ac:dyDescent="0.25">
      <c r="X1131">
        <v>7</v>
      </c>
      <c r="Y1131" t="s">
        <v>769</v>
      </c>
      <c r="Z1131" t="s">
        <v>184</v>
      </c>
      <c r="AA1131" t="str">
        <f>IF(OR(VLOOKUP(Table1[[#This Row],[sheet]],Prg!$A$7:$F$31,6,FALSE)=Prg!$O$2,VLOOKUP(Table1[[#This Row],[sheet]],Prg!$A$7:$F$31,6,FALSE)=Prg!$O$3),"Yes","No")</f>
        <v>Yes</v>
      </c>
      <c r="AB1131">
        <v>2023</v>
      </c>
      <c r="AC1131">
        <v>16</v>
      </c>
      <c r="AD1131">
        <f ca="1">IF(ISERROR(VLOOKUP(Table1[[#This Row],[item]],INDIRECT("'"&amp;Table1[[#This Row],[sheet]]&amp;"'!$A$8:$T$42"),Table1[[#This Row],[r]],FALSE)),"",VLOOKUP(Table1[[#This Row],[item]],INDIRECT("'"&amp;Table1[[#This Row],[sheet]]&amp;"'!$A$8:$T$42"),Table1[[#This Row],[r]],FALSE))</f>
        <v>0</v>
      </c>
      <c r="AE1131">
        <f>IF(VLOOKUP(Table1[[#This Row],[sheet]],Prg!$A$7:$J$31,10,FALSE)="","",VLOOKUP(Table1[[#This Row],[sheet]],Prg!$A$7:$J$31,10,FALSE)*1)</f>
        <v>1</v>
      </c>
      <c r="AF1131" t="str">
        <f>VLOOKUP(Table1[[#This Row],[sheet]],Prg!$A$7:$J$31,5,FALSE)</f>
        <v>CONGO (DEMOCRATIC REP.)</v>
      </c>
      <c r="AG1131">
        <f>ROW()</f>
        <v>1131</v>
      </c>
    </row>
    <row r="1132" spans="24:33" hidden="1" x14ac:dyDescent="0.25">
      <c r="X1132">
        <v>7</v>
      </c>
      <c r="Y1132" t="s">
        <v>770</v>
      </c>
      <c r="Z1132" t="s">
        <v>186</v>
      </c>
      <c r="AA1132" t="str">
        <f>IF(OR(VLOOKUP(Table1[[#This Row],[sheet]],Prg!$A$7:$F$31,6,FALSE)=Prg!$O$2,VLOOKUP(Table1[[#This Row],[sheet]],Prg!$A$7:$F$31,6,FALSE)=Prg!$O$3),"Yes","No")</f>
        <v>Yes</v>
      </c>
      <c r="AB1132">
        <v>2023</v>
      </c>
      <c r="AC1132">
        <v>16</v>
      </c>
      <c r="AD1132">
        <f ca="1">IF(ISERROR(VLOOKUP(Table1[[#This Row],[item]],INDIRECT("'"&amp;Table1[[#This Row],[sheet]]&amp;"'!$A$8:$T$42"),Table1[[#This Row],[r]],FALSE)),"",VLOOKUP(Table1[[#This Row],[item]],INDIRECT("'"&amp;Table1[[#This Row],[sheet]]&amp;"'!$A$8:$T$42"),Table1[[#This Row],[r]],FALSE))</f>
        <v>4000</v>
      </c>
      <c r="AE1132">
        <f>IF(VLOOKUP(Table1[[#This Row],[sheet]],Prg!$A$7:$J$31,10,FALSE)="","",VLOOKUP(Table1[[#This Row],[sheet]],Prg!$A$7:$J$31,10,FALSE)*1)</f>
        <v>1</v>
      </c>
      <c r="AF1132" t="str">
        <f>VLOOKUP(Table1[[#This Row],[sheet]],Prg!$A$7:$J$31,5,FALSE)</f>
        <v>CONGO (DEMOCRATIC REP.)</v>
      </c>
      <c r="AG1132">
        <f>ROW()</f>
        <v>1132</v>
      </c>
    </row>
    <row r="1133" spans="24:33" hidden="1" x14ac:dyDescent="0.25">
      <c r="X1133">
        <v>7</v>
      </c>
      <c r="Y1133" t="s">
        <v>771</v>
      </c>
      <c r="Z1133" t="s">
        <v>772</v>
      </c>
      <c r="AA1133" t="str">
        <f>IF(OR(VLOOKUP(Table1[[#This Row],[sheet]],Prg!$A$7:$F$31,6,FALSE)=Prg!$O$2,VLOOKUP(Table1[[#This Row],[sheet]],Prg!$A$7:$F$31,6,FALSE)=Prg!$O$3),"Yes","No")</f>
        <v>Yes</v>
      </c>
      <c r="AB1133">
        <v>2023</v>
      </c>
      <c r="AC1133">
        <v>16</v>
      </c>
      <c r="AD1133">
        <f ca="1">IF(ISERROR(VLOOKUP(Table1[[#This Row],[item]],INDIRECT("'"&amp;Table1[[#This Row],[sheet]]&amp;"'!$A$8:$T$42"),Table1[[#This Row],[r]],FALSE)),"",VLOOKUP(Table1[[#This Row],[item]],INDIRECT("'"&amp;Table1[[#This Row],[sheet]]&amp;"'!$A$8:$T$42"),Table1[[#This Row],[r]],FALSE))</f>
        <v>0</v>
      </c>
      <c r="AE1133">
        <f>IF(VLOOKUP(Table1[[#This Row],[sheet]],Prg!$A$7:$J$31,10,FALSE)="","",VLOOKUP(Table1[[#This Row],[sheet]],Prg!$A$7:$J$31,10,FALSE)*1)</f>
        <v>1</v>
      </c>
      <c r="AF1133" t="str">
        <f>VLOOKUP(Table1[[#This Row],[sheet]],Prg!$A$7:$J$31,5,FALSE)</f>
        <v>CONGO (DEMOCRATIC REP.)</v>
      </c>
      <c r="AG1133">
        <f>ROW()</f>
        <v>1133</v>
      </c>
    </row>
    <row r="1134" spans="24:33" hidden="1" x14ac:dyDescent="0.25">
      <c r="X1134">
        <v>7</v>
      </c>
      <c r="Y1134" t="s">
        <v>773</v>
      </c>
      <c r="Z1134" t="s">
        <v>190</v>
      </c>
      <c r="AA1134" t="str">
        <f>IF(OR(VLOOKUP(Table1[[#This Row],[sheet]],Prg!$A$7:$F$31,6,FALSE)=Prg!$O$2,VLOOKUP(Table1[[#This Row],[sheet]],Prg!$A$7:$F$31,6,FALSE)=Prg!$O$3),"Yes","No")</f>
        <v>Yes</v>
      </c>
      <c r="AB1134">
        <v>2023</v>
      </c>
      <c r="AC1134">
        <v>16</v>
      </c>
      <c r="AD1134">
        <f ca="1">IF(ISERROR(VLOOKUP(Table1[[#This Row],[item]],INDIRECT("'"&amp;Table1[[#This Row],[sheet]]&amp;"'!$A$8:$T$42"),Table1[[#This Row],[r]],FALSE)),"",VLOOKUP(Table1[[#This Row],[item]],INDIRECT("'"&amp;Table1[[#This Row],[sheet]]&amp;"'!$A$8:$T$42"),Table1[[#This Row],[r]],FALSE))</f>
        <v>462767.78454545472</v>
      </c>
      <c r="AE1134">
        <f>IF(VLOOKUP(Table1[[#This Row],[sheet]],Prg!$A$7:$J$31,10,FALSE)="","",VLOOKUP(Table1[[#This Row],[sheet]],Prg!$A$7:$J$31,10,FALSE)*1)</f>
        <v>1</v>
      </c>
      <c r="AF1134" t="str">
        <f>VLOOKUP(Table1[[#This Row],[sheet]],Prg!$A$7:$J$31,5,FALSE)</f>
        <v>CONGO (DEMOCRATIC REP.)</v>
      </c>
      <c r="AG1134">
        <f>ROW()</f>
        <v>1134</v>
      </c>
    </row>
    <row r="1135" spans="24:33" hidden="1" x14ac:dyDescent="0.25">
      <c r="X1135">
        <v>7</v>
      </c>
      <c r="Y1135" t="s">
        <v>709</v>
      </c>
      <c r="Z1135" t="s">
        <v>192</v>
      </c>
      <c r="AA1135" t="str">
        <f>IF(OR(VLOOKUP(Table1[[#This Row],[sheet]],Prg!$A$7:$F$31,6,FALSE)=Prg!$O$2,VLOOKUP(Table1[[#This Row],[sheet]],Prg!$A$7:$F$31,6,FALSE)=Prg!$O$3),"Yes","No")</f>
        <v>Yes</v>
      </c>
      <c r="AB1135">
        <v>2023</v>
      </c>
      <c r="AC1135">
        <v>16</v>
      </c>
      <c r="AD1135">
        <f ca="1">IF(ISERROR(VLOOKUP(Table1[[#This Row],[item]],INDIRECT("'"&amp;Table1[[#This Row],[sheet]]&amp;"'!$A$8:$T$42"),Table1[[#This Row],[r]],FALSE)),"",VLOOKUP(Table1[[#This Row],[item]],INDIRECT("'"&amp;Table1[[#This Row],[sheet]]&amp;"'!$A$8:$T$42"),Table1[[#This Row],[r]],FALSE))</f>
        <v>0</v>
      </c>
      <c r="AE1135">
        <f>IF(VLOOKUP(Table1[[#This Row],[sheet]],Prg!$A$7:$J$31,10,FALSE)="","",VLOOKUP(Table1[[#This Row],[sheet]],Prg!$A$7:$J$31,10,FALSE)*1)</f>
        <v>1</v>
      </c>
      <c r="AF1135" t="str">
        <f>VLOOKUP(Table1[[#This Row],[sheet]],Prg!$A$7:$J$31,5,FALSE)</f>
        <v>CONGO (DEMOCRATIC REP.)</v>
      </c>
      <c r="AG1135">
        <f>ROW()</f>
        <v>1135</v>
      </c>
    </row>
    <row r="1136" spans="24:33" hidden="1" x14ac:dyDescent="0.25">
      <c r="X1136">
        <v>7</v>
      </c>
      <c r="Y1136" t="s">
        <v>774</v>
      </c>
      <c r="Z1136" t="s">
        <v>194</v>
      </c>
      <c r="AA1136" t="str">
        <f>IF(OR(VLOOKUP(Table1[[#This Row],[sheet]],Prg!$A$7:$F$31,6,FALSE)=Prg!$O$2,VLOOKUP(Table1[[#This Row],[sheet]],Prg!$A$7:$F$31,6,FALSE)=Prg!$O$3),"Yes","No")</f>
        <v>Yes</v>
      </c>
      <c r="AB1136">
        <v>2023</v>
      </c>
      <c r="AC1136">
        <v>16</v>
      </c>
      <c r="AD1136">
        <f ca="1">IF(ISERROR(VLOOKUP(Table1[[#This Row],[item]],INDIRECT("'"&amp;Table1[[#This Row],[sheet]]&amp;"'!$A$8:$T$42"),Table1[[#This Row],[r]],FALSE)),"",VLOOKUP(Table1[[#This Row],[item]],INDIRECT("'"&amp;Table1[[#This Row],[sheet]]&amp;"'!$A$8:$T$42"),Table1[[#This Row],[r]],FALSE))</f>
        <v>0</v>
      </c>
      <c r="AE1136">
        <f>IF(VLOOKUP(Table1[[#This Row],[sheet]],Prg!$A$7:$J$31,10,FALSE)="","",VLOOKUP(Table1[[#This Row],[sheet]],Prg!$A$7:$J$31,10,FALSE)*1)</f>
        <v>1</v>
      </c>
      <c r="AF1136" t="str">
        <f>VLOOKUP(Table1[[#This Row],[sheet]],Prg!$A$7:$J$31,5,FALSE)</f>
        <v>CONGO (DEMOCRATIC REP.)</v>
      </c>
      <c r="AG1136">
        <f>ROW()</f>
        <v>1136</v>
      </c>
    </row>
    <row r="1137" spans="24:33" hidden="1" x14ac:dyDescent="0.25">
      <c r="X1137">
        <v>7</v>
      </c>
      <c r="Y1137" t="s">
        <v>775</v>
      </c>
      <c r="Z1137" t="s">
        <v>196</v>
      </c>
      <c r="AA1137" t="str">
        <f>IF(OR(VLOOKUP(Table1[[#This Row],[sheet]],Prg!$A$7:$F$31,6,FALSE)=Prg!$O$2,VLOOKUP(Table1[[#This Row],[sheet]],Prg!$A$7:$F$31,6,FALSE)=Prg!$O$3),"Yes","No")</f>
        <v>Yes</v>
      </c>
      <c r="AB1137">
        <v>2023</v>
      </c>
      <c r="AC1137">
        <v>16</v>
      </c>
      <c r="AD1137">
        <f ca="1">IF(ISERROR(VLOOKUP(Table1[[#This Row],[item]],INDIRECT("'"&amp;Table1[[#This Row],[sheet]]&amp;"'!$A$8:$T$42"),Table1[[#This Row],[r]],FALSE)),"",VLOOKUP(Table1[[#This Row],[item]],INDIRECT("'"&amp;Table1[[#This Row],[sheet]]&amp;"'!$A$8:$T$42"),Table1[[#This Row],[r]],FALSE))</f>
        <v>0</v>
      </c>
      <c r="AE1137">
        <f>IF(VLOOKUP(Table1[[#This Row],[sheet]],Prg!$A$7:$J$31,10,FALSE)="","",VLOOKUP(Table1[[#This Row],[sheet]],Prg!$A$7:$J$31,10,FALSE)*1)</f>
        <v>1</v>
      </c>
      <c r="AF1137" t="str">
        <f>VLOOKUP(Table1[[#This Row],[sheet]],Prg!$A$7:$J$31,5,FALSE)</f>
        <v>CONGO (DEMOCRATIC REP.)</v>
      </c>
      <c r="AG1137">
        <f>ROW()</f>
        <v>1137</v>
      </c>
    </row>
    <row r="1138" spans="24:33" hidden="1" x14ac:dyDescent="0.25">
      <c r="X1138">
        <v>7</v>
      </c>
      <c r="Y1138" t="s">
        <v>776</v>
      </c>
      <c r="Z1138" t="s">
        <v>605</v>
      </c>
      <c r="AA1138" t="str">
        <f>IF(OR(VLOOKUP(Table1[[#This Row],[sheet]],Prg!$A$7:$F$31,6,FALSE)=Prg!$O$2,VLOOKUP(Table1[[#This Row],[sheet]],Prg!$A$7:$F$31,6,FALSE)=Prg!$O$3),"Yes","No")</f>
        <v>Yes</v>
      </c>
      <c r="AB1138">
        <v>2023</v>
      </c>
      <c r="AC1138">
        <v>16</v>
      </c>
      <c r="AD1138">
        <f ca="1">IF(ISERROR(VLOOKUP(Table1[[#This Row],[item]],INDIRECT("'"&amp;Table1[[#This Row],[sheet]]&amp;"'!$A$8:$T$42"),Table1[[#This Row],[r]],FALSE)),"",VLOOKUP(Table1[[#This Row],[item]],INDIRECT("'"&amp;Table1[[#This Row],[sheet]]&amp;"'!$A$8:$T$42"),Table1[[#This Row],[r]],FALSE))</f>
        <v>0</v>
      </c>
      <c r="AE1138">
        <f>IF(VLOOKUP(Table1[[#This Row],[sheet]],Prg!$A$7:$J$31,10,FALSE)="","",VLOOKUP(Table1[[#This Row],[sheet]],Prg!$A$7:$J$31,10,FALSE)*1)</f>
        <v>1</v>
      </c>
      <c r="AF1138" t="str">
        <f>VLOOKUP(Table1[[#This Row],[sheet]],Prg!$A$7:$J$31,5,FALSE)</f>
        <v>CONGO (DEMOCRATIC REP.)</v>
      </c>
      <c r="AG1138">
        <f>ROW()</f>
        <v>1138</v>
      </c>
    </row>
    <row r="1139" spans="24:33" hidden="1" x14ac:dyDescent="0.25">
      <c r="X1139">
        <v>7</v>
      </c>
      <c r="Y1139" t="s">
        <v>711</v>
      </c>
      <c r="Z1139" t="s">
        <v>200</v>
      </c>
      <c r="AA1139" t="str">
        <f>IF(OR(VLOOKUP(Table1[[#This Row],[sheet]],Prg!$A$7:$F$31,6,FALSE)=Prg!$O$2,VLOOKUP(Table1[[#This Row],[sheet]],Prg!$A$7:$F$31,6,FALSE)=Prg!$O$3),"Yes","No")</f>
        <v>Yes</v>
      </c>
      <c r="AB1139">
        <v>2023</v>
      </c>
      <c r="AC1139">
        <v>16</v>
      </c>
      <c r="AD1139">
        <f ca="1">IF(ISERROR(VLOOKUP(Table1[[#This Row],[item]],INDIRECT("'"&amp;Table1[[#This Row],[sheet]]&amp;"'!$A$8:$T$42"),Table1[[#This Row],[r]],FALSE)),"",VLOOKUP(Table1[[#This Row],[item]],INDIRECT("'"&amp;Table1[[#This Row],[sheet]]&amp;"'!$A$8:$T$42"),Table1[[#This Row],[r]],FALSE))</f>
        <v>276045.34454545472</v>
      </c>
      <c r="AE1139">
        <f>IF(VLOOKUP(Table1[[#This Row],[sheet]],Prg!$A$7:$J$31,10,FALSE)="","",VLOOKUP(Table1[[#This Row],[sheet]],Prg!$A$7:$J$31,10,FALSE)*1)</f>
        <v>1</v>
      </c>
      <c r="AF1139" t="str">
        <f>VLOOKUP(Table1[[#This Row],[sheet]],Prg!$A$7:$J$31,5,FALSE)</f>
        <v>CONGO (DEMOCRATIC REP.)</v>
      </c>
      <c r="AG1139">
        <f>ROW()</f>
        <v>1139</v>
      </c>
    </row>
    <row r="1140" spans="24:33" hidden="1" x14ac:dyDescent="0.25">
      <c r="X1140">
        <v>7</v>
      </c>
      <c r="Y1140" t="s">
        <v>777</v>
      </c>
      <c r="Z1140" t="s">
        <v>202</v>
      </c>
      <c r="AA1140" t="str">
        <f>IF(OR(VLOOKUP(Table1[[#This Row],[sheet]],Prg!$A$7:$F$31,6,FALSE)=Prg!$O$2,VLOOKUP(Table1[[#This Row],[sheet]],Prg!$A$7:$F$31,6,FALSE)=Prg!$O$3),"Yes","No")</f>
        <v>Yes</v>
      </c>
      <c r="AB1140">
        <v>2023</v>
      </c>
      <c r="AC1140">
        <v>16</v>
      </c>
      <c r="AD1140">
        <f ca="1">IF(ISERROR(VLOOKUP(Table1[[#This Row],[item]],INDIRECT("'"&amp;Table1[[#This Row],[sheet]]&amp;"'!$A$8:$T$42"),Table1[[#This Row],[r]],FALSE)),"",VLOOKUP(Table1[[#This Row],[item]],INDIRECT("'"&amp;Table1[[#This Row],[sheet]]&amp;"'!$A$8:$T$42"),Table1[[#This Row],[r]],FALSE))</f>
        <v>53875.68</v>
      </c>
      <c r="AE1140">
        <f>IF(VLOOKUP(Table1[[#This Row],[sheet]],Prg!$A$7:$J$31,10,FALSE)="","",VLOOKUP(Table1[[#This Row],[sheet]],Prg!$A$7:$J$31,10,FALSE)*1)</f>
        <v>1</v>
      </c>
      <c r="AF1140" t="str">
        <f>VLOOKUP(Table1[[#This Row],[sheet]],Prg!$A$7:$J$31,5,FALSE)</f>
        <v>CONGO (DEMOCRATIC REP.)</v>
      </c>
      <c r="AG1140">
        <f>ROW()</f>
        <v>1140</v>
      </c>
    </row>
    <row r="1141" spans="24:33" hidden="1" x14ac:dyDescent="0.25">
      <c r="X1141">
        <v>7</v>
      </c>
      <c r="Y1141" t="s">
        <v>778</v>
      </c>
      <c r="Z1141" t="s">
        <v>204</v>
      </c>
      <c r="AA1141" t="str">
        <f>IF(OR(VLOOKUP(Table1[[#This Row],[sheet]],Prg!$A$7:$F$31,6,FALSE)=Prg!$O$2,VLOOKUP(Table1[[#This Row],[sheet]],Prg!$A$7:$F$31,6,FALSE)=Prg!$O$3),"Yes","No")</f>
        <v>Yes</v>
      </c>
      <c r="AB1141">
        <v>2023</v>
      </c>
      <c r="AC1141">
        <v>16</v>
      </c>
      <c r="AD1141">
        <f ca="1">IF(ISERROR(VLOOKUP(Table1[[#This Row],[item]],INDIRECT("'"&amp;Table1[[#This Row],[sheet]]&amp;"'!$A$8:$T$42"),Table1[[#This Row],[r]],FALSE)),"",VLOOKUP(Table1[[#This Row],[item]],INDIRECT("'"&amp;Table1[[#This Row],[sheet]]&amp;"'!$A$8:$T$42"),Table1[[#This Row],[r]],FALSE))</f>
        <v>44190.832727272733</v>
      </c>
      <c r="AE1141">
        <f>IF(VLOOKUP(Table1[[#This Row],[sheet]],Prg!$A$7:$J$31,10,FALSE)="","",VLOOKUP(Table1[[#This Row],[sheet]],Prg!$A$7:$J$31,10,FALSE)*1)</f>
        <v>1</v>
      </c>
      <c r="AF1141" t="str">
        <f>VLOOKUP(Table1[[#This Row],[sheet]],Prg!$A$7:$J$31,5,FALSE)</f>
        <v>CONGO (DEMOCRATIC REP.)</v>
      </c>
      <c r="AG1141">
        <f>ROW()</f>
        <v>1141</v>
      </c>
    </row>
    <row r="1142" spans="24:33" hidden="1" x14ac:dyDescent="0.25">
      <c r="X1142">
        <v>7</v>
      </c>
      <c r="Y1142" t="s">
        <v>779</v>
      </c>
      <c r="Z1142" t="s">
        <v>605</v>
      </c>
      <c r="AA1142" t="str">
        <f>IF(OR(VLOOKUP(Table1[[#This Row],[sheet]],Prg!$A$7:$F$31,6,FALSE)=Prg!$O$2,VLOOKUP(Table1[[#This Row],[sheet]],Prg!$A$7:$F$31,6,FALSE)=Prg!$O$3),"Yes","No")</f>
        <v>Yes</v>
      </c>
      <c r="AB1142">
        <v>2023</v>
      </c>
      <c r="AC1142">
        <v>16</v>
      </c>
      <c r="AD1142">
        <f ca="1">IF(ISERROR(VLOOKUP(Table1[[#This Row],[item]],INDIRECT("'"&amp;Table1[[#This Row],[sheet]]&amp;"'!$A$8:$T$42"),Table1[[#This Row],[r]],FALSE)),"",VLOOKUP(Table1[[#This Row],[item]],INDIRECT("'"&amp;Table1[[#This Row],[sheet]]&amp;"'!$A$8:$T$42"),Table1[[#This Row],[r]],FALSE))</f>
        <v>177978.83181818199</v>
      </c>
      <c r="AE1142">
        <f>IF(VLOOKUP(Table1[[#This Row],[sheet]],Prg!$A$7:$J$31,10,FALSE)="","",VLOOKUP(Table1[[#This Row],[sheet]],Prg!$A$7:$J$31,10,FALSE)*1)</f>
        <v>1</v>
      </c>
      <c r="AF1142" t="str">
        <f>VLOOKUP(Table1[[#This Row],[sheet]],Prg!$A$7:$J$31,5,FALSE)</f>
        <v>CONGO (DEMOCRATIC REP.)</v>
      </c>
      <c r="AG1142">
        <f>ROW()</f>
        <v>1142</v>
      </c>
    </row>
    <row r="1143" spans="24:33" hidden="1" x14ac:dyDescent="0.25">
      <c r="X1143">
        <v>7</v>
      </c>
      <c r="Y1143" t="s">
        <v>712</v>
      </c>
      <c r="Z1143" t="s">
        <v>780</v>
      </c>
      <c r="AA1143" t="str">
        <f>IF(OR(VLOOKUP(Table1[[#This Row],[sheet]],Prg!$A$7:$F$31,6,FALSE)=Prg!$O$2,VLOOKUP(Table1[[#This Row],[sheet]],Prg!$A$7:$F$31,6,FALSE)=Prg!$O$3),"Yes","No")</f>
        <v>Yes</v>
      </c>
      <c r="AB1143">
        <v>2023</v>
      </c>
      <c r="AC1143">
        <v>16</v>
      </c>
      <c r="AD1143">
        <f ca="1">IF(ISERROR(VLOOKUP(Table1[[#This Row],[item]],INDIRECT("'"&amp;Table1[[#This Row],[sheet]]&amp;"'!$A$8:$T$42"),Table1[[#This Row],[r]],FALSE)),"",VLOOKUP(Table1[[#This Row],[item]],INDIRECT("'"&amp;Table1[[#This Row],[sheet]]&amp;"'!$A$8:$T$42"),Table1[[#This Row],[r]],FALSE))</f>
        <v>186722.44</v>
      </c>
      <c r="AE1143">
        <f>IF(VLOOKUP(Table1[[#This Row],[sheet]],Prg!$A$7:$J$31,10,FALSE)="","",VLOOKUP(Table1[[#This Row],[sheet]],Prg!$A$7:$J$31,10,FALSE)*1)</f>
        <v>1</v>
      </c>
      <c r="AF1143" t="str">
        <f>VLOOKUP(Table1[[#This Row],[sheet]],Prg!$A$7:$J$31,5,FALSE)</f>
        <v>CONGO (DEMOCRATIC REP.)</v>
      </c>
      <c r="AG1143">
        <f>ROW()</f>
        <v>1143</v>
      </c>
    </row>
    <row r="1144" spans="24:33" hidden="1" x14ac:dyDescent="0.25">
      <c r="X1144">
        <v>7</v>
      </c>
      <c r="Y1144" t="s">
        <v>781</v>
      </c>
      <c r="Z1144" t="s">
        <v>782</v>
      </c>
      <c r="AA1144" t="str">
        <f>IF(OR(VLOOKUP(Table1[[#This Row],[sheet]],Prg!$A$7:$F$31,6,FALSE)=Prg!$O$2,VLOOKUP(Table1[[#This Row],[sheet]],Prg!$A$7:$F$31,6,FALSE)=Prg!$O$3),"Yes","No")</f>
        <v>Yes</v>
      </c>
      <c r="AB1144">
        <v>2023</v>
      </c>
      <c r="AC1144">
        <v>16</v>
      </c>
      <c r="AD1144">
        <f ca="1">IF(ISERROR(VLOOKUP(Table1[[#This Row],[item]],INDIRECT("'"&amp;Table1[[#This Row],[sheet]]&amp;"'!$A$8:$T$42"),Table1[[#This Row],[r]],FALSE)),"",VLOOKUP(Table1[[#This Row],[item]],INDIRECT("'"&amp;Table1[[#This Row],[sheet]]&amp;"'!$A$8:$T$42"),Table1[[#This Row],[r]],FALSE))</f>
        <v>0</v>
      </c>
      <c r="AE1144">
        <f>IF(VLOOKUP(Table1[[#This Row],[sheet]],Prg!$A$7:$J$31,10,FALSE)="","",VLOOKUP(Table1[[#This Row],[sheet]],Prg!$A$7:$J$31,10,FALSE)*1)</f>
        <v>1</v>
      </c>
      <c r="AF1144" t="str">
        <f>VLOOKUP(Table1[[#This Row],[sheet]],Prg!$A$7:$J$31,5,FALSE)</f>
        <v>CONGO (DEMOCRATIC REP.)</v>
      </c>
      <c r="AG1144">
        <f>ROW()</f>
        <v>1144</v>
      </c>
    </row>
    <row r="1145" spans="24:33" hidden="1" x14ac:dyDescent="0.25">
      <c r="X1145">
        <v>7</v>
      </c>
      <c r="Y1145" t="s">
        <v>783</v>
      </c>
      <c r="Z1145" t="s">
        <v>784</v>
      </c>
      <c r="AA1145" t="str">
        <f>IF(OR(VLOOKUP(Table1[[#This Row],[sheet]],Prg!$A$7:$F$31,6,FALSE)=Prg!$O$2,VLOOKUP(Table1[[#This Row],[sheet]],Prg!$A$7:$F$31,6,FALSE)=Prg!$O$3),"Yes","No")</f>
        <v>Yes</v>
      </c>
      <c r="AB1145">
        <v>2023</v>
      </c>
      <c r="AC1145">
        <v>16</v>
      </c>
      <c r="AD1145">
        <f ca="1">IF(ISERROR(VLOOKUP(Table1[[#This Row],[item]],INDIRECT("'"&amp;Table1[[#This Row],[sheet]]&amp;"'!$A$8:$T$42"),Table1[[#This Row],[r]],FALSE)),"",VLOOKUP(Table1[[#This Row],[item]],INDIRECT("'"&amp;Table1[[#This Row],[sheet]]&amp;"'!$A$8:$T$42"),Table1[[#This Row],[r]],FALSE))</f>
        <v>22142.35</v>
      </c>
      <c r="AE1145">
        <f>IF(VLOOKUP(Table1[[#This Row],[sheet]],Prg!$A$7:$J$31,10,FALSE)="","",VLOOKUP(Table1[[#This Row],[sheet]],Prg!$A$7:$J$31,10,FALSE)*1)</f>
        <v>1</v>
      </c>
      <c r="AF1145" t="str">
        <f>VLOOKUP(Table1[[#This Row],[sheet]],Prg!$A$7:$J$31,5,FALSE)</f>
        <v>CONGO (DEMOCRATIC REP.)</v>
      </c>
      <c r="AG1145">
        <f>ROW()</f>
        <v>1145</v>
      </c>
    </row>
    <row r="1146" spans="24:33" hidden="1" x14ac:dyDescent="0.25">
      <c r="X1146">
        <v>7</v>
      </c>
      <c r="Y1146" t="s">
        <v>785</v>
      </c>
      <c r="Z1146" t="s">
        <v>786</v>
      </c>
      <c r="AA1146" t="str">
        <f>IF(OR(VLOOKUP(Table1[[#This Row],[sheet]],Prg!$A$7:$F$31,6,FALSE)=Prg!$O$2,VLOOKUP(Table1[[#This Row],[sheet]],Prg!$A$7:$F$31,6,FALSE)=Prg!$O$3),"Yes","No")</f>
        <v>Yes</v>
      </c>
      <c r="AB1146">
        <v>2023</v>
      </c>
      <c r="AC1146">
        <v>16</v>
      </c>
      <c r="AD1146">
        <f ca="1">IF(ISERROR(VLOOKUP(Table1[[#This Row],[item]],INDIRECT("'"&amp;Table1[[#This Row],[sheet]]&amp;"'!$A$8:$T$42"),Table1[[#This Row],[r]],FALSE)),"",VLOOKUP(Table1[[#This Row],[item]],INDIRECT("'"&amp;Table1[[#This Row],[sheet]]&amp;"'!$A$8:$T$42"),Table1[[#This Row],[r]],FALSE))</f>
        <v>164580.09</v>
      </c>
      <c r="AE1146">
        <f>IF(VLOOKUP(Table1[[#This Row],[sheet]],Prg!$A$7:$J$31,10,FALSE)="","",VLOOKUP(Table1[[#This Row],[sheet]],Prg!$A$7:$J$31,10,FALSE)*1)</f>
        <v>1</v>
      </c>
      <c r="AF1146" t="str">
        <f>VLOOKUP(Table1[[#This Row],[sheet]],Prg!$A$7:$J$31,5,FALSE)</f>
        <v>CONGO (DEMOCRATIC REP.)</v>
      </c>
      <c r="AG1146">
        <f>ROW()</f>
        <v>1146</v>
      </c>
    </row>
    <row r="1147" spans="24:33" hidden="1" x14ac:dyDescent="0.25">
      <c r="X1147">
        <v>7</v>
      </c>
      <c r="Y1147" t="s">
        <v>787</v>
      </c>
      <c r="Z1147" t="s">
        <v>633</v>
      </c>
      <c r="AA1147" t="str">
        <f>IF(OR(VLOOKUP(Table1[[#This Row],[sheet]],Prg!$A$7:$F$31,6,FALSE)=Prg!$O$2,VLOOKUP(Table1[[#This Row],[sheet]],Prg!$A$7:$F$31,6,FALSE)=Prg!$O$3),"Yes","No")</f>
        <v>Yes</v>
      </c>
      <c r="AB1147">
        <v>2023</v>
      </c>
      <c r="AC1147">
        <v>16</v>
      </c>
      <c r="AD1147">
        <f ca="1">IF(ISERROR(VLOOKUP(Table1[[#This Row],[item]],INDIRECT("'"&amp;Table1[[#This Row],[sheet]]&amp;"'!$A$8:$T$42"),Table1[[#This Row],[r]],FALSE)),"",VLOOKUP(Table1[[#This Row],[item]],INDIRECT("'"&amp;Table1[[#This Row],[sheet]]&amp;"'!$A$8:$T$42"),Table1[[#This Row],[r]],FALSE))</f>
        <v>0</v>
      </c>
      <c r="AE1147">
        <f>IF(VLOOKUP(Table1[[#This Row],[sheet]],Prg!$A$7:$J$31,10,FALSE)="","",VLOOKUP(Table1[[#This Row],[sheet]],Prg!$A$7:$J$31,10,FALSE)*1)</f>
        <v>1</v>
      </c>
      <c r="AF1147" t="str">
        <f>VLOOKUP(Table1[[#This Row],[sheet]],Prg!$A$7:$J$31,5,FALSE)</f>
        <v>CONGO (DEMOCRATIC REP.)</v>
      </c>
      <c r="AG1147">
        <f>ROW()</f>
        <v>1147</v>
      </c>
    </row>
    <row r="1148" spans="24:33" hidden="1" x14ac:dyDescent="0.25">
      <c r="X1148">
        <v>7</v>
      </c>
      <c r="Y1148" t="s">
        <v>753</v>
      </c>
      <c r="Z1148" t="s">
        <v>162</v>
      </c>
      <c r="AA1148" t="str">
        <f>IF(OR(VLOOKUP(Table1[[#This Row],[sheet]],Prg!$A$7:$F$31,6,FALSE)=Prg!$O$2,VLOOKUP(Table1[[#This Row],[sheet]],Prg!$A$7:$F$31,6,FALSE)=Prg!$O$3),"Yes","No")</f>
        <v>Yes</v>
      </c>
      <c r="AB1148">
        <v>2024</v>
      </c>
      <c r="AC1148">
        <v>17</v>
      </c>
      <c r="AD1148">
        <f ca="1">IF(ISERROR(VLOOKUP(Table1[[#This Row],[item]],INDIRECT("'"&amp;Table1[[#This Row],[sheet]]&amp;"'!$A$8:$T$42"),Table1[[#This Row],[r]],FALSE)),"",VLOOKUP(Table1[[#This Row],[item]],INDIRECT("'"&amp;Table1[[#This Row],[sheet]]&amp;"'!$A$8:$T$42"),Table1[[#This Row],[r]],FALSE))</f>
        <v>217663.48272727299</v>
      </c>
      <c r="AE1148">
        <f>IF(VLOOKUP(Table1[[#This Row],[sheet]],Prg!$A$7:$J$31,10,FALSE)="","",VLOOKUP(Table1[[#This Row],[sheet]],Prg!$A$7:$J$31,10,FALSE)*1)</f>
        <v>1</v>
      </c>
      <c r="AF1148" t="str">
        <f>VLOOKUP(Table1[[#This Row],[sheet]],Prg!$A$7:$J$31,5,FALSE)</f>
        <v>CONGO (DEMOCRATIC REP.)</v>
      </c>
      <c r="AG1148">
        <f>ROW()</f>
        <v>1148</v>
      </c>
    </row>
    <row r="1149" spans="24:33" hidden="1" x14ac:dyDescent="0.25">
      <c r="X1149">
        <v>7</v>
      </c>
      <c r="Y1149" t="s">
        <v>754</v>
      </c>
      <c r="Z1149" t="s">
        <v>164</v>
      </c>
      <c r="AA1149" t="str">
        <f>IF(OR(VLOOKUP(Table1[[#This Row],[sheet]],Prg!$A$7:$F$31,6,FALSE)=Prg!$O$2,VLOOKUP(Table1[[#This Row],[sheet]],Prg!$A$7:$F$31,6,FALSE)=Prg!$O$3),"Yes","No")</f>
        <v>Yes</v>
      </c>
      <c r="AB1149">
        <v>2024</v>
      </c>
      <c r="AC1149">
        <v>17</v>
      </c>
      <c r="AD1149">
        <f ca="1">IF(ISERROR(VLOOKUP(Table1[[#This Row],[item]],INDIRECT("'"&amp;Table1[[#This Row],[sheet]]&amp;"'!$A$8:$T$42"),Table1[[#This Row],[r]],FALSE)),"",VLOOKUP(Table1[[#This Row],[item]],INDIRECT("'"&amp;Table1[[#This Row],[sheet]]&amp;"'!$A$8:$T$42"),Table1[[#This Row],[r]],FALSE))</f>
        <v>3640</v>
      </c>
      <c r="AE1149">
        <f>IF(VLOOKUP(Table1[[#This Row],[sheet]],Prg!$A$7:$J$31,10,FALSE)="","",VLOOKUP(Table1[[#This Row],[sheet]],Prg!$A$7:$J$31,10,FALSE)*1)</f>
        <v>1</v>
      </c>
      <c r="AF1149" t="str">
        <f>VLOOKUP(Table1[[#This Row],[sheet]],Prg!$A$7:$J$31,5,FALSE)</f>
        <v>CONGO (DEMOCRATIC REP.)</v>
      </c>
      <c r="AG1149">
        <f>ROW()</f>
        <v>1149</v>
      </c>
    </row>
    <row r="1150" spans="24:33" hidden="1" x14ac:dyDescent="0.25">
      <c r="X1150">
        <v>7</v>
      </c>
      <c r="Y1150" t="s">
        <v>755</v>
      </c>
      <c r="Z1150" t="s">
        <v>166</v>
      </c>
      <c r="AA1150" t="str">
        <f>IF(OR(VLOOKUP(Table1[[#This Row],[sheet]],Prg!$A$7:$F$31,6,FALSE)=Prg!$O$2,VLOOKUP(Table1[[#This Row],[sheet]],Prg!$A$7:$F$31,6,FALSE)=Prg!$O$3),"Yes","No")</f>
        <v>Yes</v>
      </c>
      <c r="AB1150">
        <v>2024</v>
      </c>
      <c r="AC1150">
        <v>17</v>
      </c>
      <c r="AD1150">
        <f ca="1">IF(ISERROR(VLOOKUP(Table1[[#This Row],[item]],INDIRECT("'"&amp;Table1[[#This Row],[sheet]]&amp;"'!$A$8:$T$42"),Table1[[#This Row],[r]],FALSE)),"",VLOOKUP(Table1[[#This Row],[item]],INDIRECT("'"&amp;Table1[[#This Row],[sheet]]&amp;"'!$A$8:$T$42"),Table1[[#This Row],[r]],FALSE))</f>
        <v>145737.48272727299</v>
      </c>
      <c r="AE1150">
        <f>IF(VLOOKUP(Table1[[#This Row],[sheet]],Prg!$A$7:$J$31,10,FALSE)="","",VLOOKUP(Table1[[#This Row],[sheet]],Prg!$A$7:$J$31,10,FALSE)*1)</f>
        <v>1</v>
      </c>
      <c r="AF1150" t="str">
        <f>VLOOKUP(Table1[[#This Row],[sheet]],Prg!$A$7:$J$31,5,FALSE)</f>
        <v>CONGO (DEMOCRATIC REP.)</v>
      </c>
      <c r="AG1150">
        <f>ROW()</f>
        <v>1150</v>
      </c>
    </row>
    <row r="1151" spans="24:33" hidden="1" x14ac:dyDescent="0.25">
      <c r="X1151">
        <v>7</v>
      </c>
      <c r="Y1151" t="s">
        <v>756</v>
      </c>
      <c r="Z1151" t="s">
        <v>757</v>
      </c>
      <c r="AA1151" t="str">
        <f>IF(OR(VLOOKUP(Table1[[#This Row],[sheet]],Prg!$A$7:$F$31,6,FALSE)=Prg!$O$2,VLOOKUP(Table1[[#This Row],[sheet]],Prg!$A$7:$F$31,6,FALSE)=Prg!$O$3),"Yes","No")</f>
        <v>Yes</v>
      </c>
      <c r="AB1151">
        <v>2024</v>
      </c>
      <c r="AC1151">
        <v>17</v>
      </c>
      <c r="AD1151">
        <f ca="1">IF(ISERROR(VLOOKUP(Table1[[#This Row],[item]],INDIRECT("'"&amp;Table1[[#This Row],[sheet]]&amp;"'!$A$8:$T$42"),Table1[[#This Row],[r]],FALSE)),"",VLOOKUP(Table1[[#This Row],[item]],INDIRECT("'"&amp;Table1[[#This Row],[sheet]]&amp;"'!$A$8:$T$42"),Table1[[#This Row],[r]],FALSE))</f>
        <v>68286</v>
      </c>
      <c r="AE1151">
        <f>IF(VLOOKUP(Table1[[#This Row],[sheet]],Prg!$A$7:$J$31,10,FALSE)="","",VLOOKUP(Table1[[#This Row],[sheet]],Prg!$A$7:$J$31,10,FALSE)*1)</f>
        <v>1</v>
      </c>
      <c r="AF1151" t="str">
        <f>VLOOKUP(Table1[[#This Row],[sheet]],Prg!$A$7:$J$31,5,FALSE)</f>
        <v>CONGO (DEMOCRATIC REP.)</v>
      </c>
      <c r="AG1151">
        <f>ROW()</f>
        <v>1151</v>
      </c>
    </row>
    <row r="1152" spans="24:33" hidden="1" x14ac:dyDescent="0.25">
      <c r="X1152">
        <v>7</v>
      </c>
      <c r="Y1152" t="s">
        <v>758</v>
      </c>
      <c r="Z1152" t="s">
        <v>170</v>
      </c>
      <c r="AA1152" t="str">
        <f>IF(OR(VLOOKUP(Table1[[#This Row],[sheet]],Prg!$A$7:$F$31,6,FALSE)=Prg!$O$2,VLOOKUP(Table1[[#This Row],[sheet]],Prg!$A$7:$F$31,6,FALSE)=Prg!$O$3),"Yes","No")</f>
        <v>Yes</v>
      </c>
      <c r="AB1152">
        <v>2024</v>
      </c>
      <c r="AC1152">
        <v>17</v>
      </c>
      <c r="AD1152">
        <f ca="1">IF(ISERROR(VLOOKUP(Table1[[#This Row],[item]],INDIRECT("'"&amp;Table1[[#This Row],[sheet]]&amp;"'!$A$8:$T$42"),Table1[[#This Row],[r]],FALSE)),"",VLOOKUP(Table1[[#This Row],[item]],INDIRECT("'"&amp;Table1[[#This Row],[sheet]]&amp;"'!$A$8:$T$42"),Table1[[#This Row],[r]],FALSE))</f>
        <v>10017.18</v>
      </c>
      <c r="AE1152">
        <f>IF(VLOOKUP(Table1[[#This Row],[sheet]],Prg!$A$7:$J$31,10,FALSE)="","",VLOOKUP(Table1[[#This Row],[sheet]],Prg!$A$7:$J$31,10,FALSE)*1)</f>
        <v>1</v>
      </c>
      <c r="AF1152" t="str">
        <f>VLOOKUP(Table1[[#This Row],[sheet]],Prg!$A$7:$J$31,5,FALSE)</f>
        <v>CONGO (DEMOCRATIC REP.)</v>
      </c>
      <c r="AG1152">
        <f>ROW()</f>
        <v>1152</v>
      </c>
    </row>
    <row r="1153" spans="24:33" hidden="1" x14ac:dyDescent="0.25">
      <c r="X1153">
        <v>7</v>
      </c>
      <c r="Y1153" t="s">
        <v>759</v>
      </c>
      <c r="Z1153" t="s">
        <v>172</v>
      </c>
      <c r="AA1153" t="str">
        <f>IF(OR(VLOOKUP(Table1[[#This Row],[sheet]],Prg!$A$7:$F$31,6,FALSE)=Prg!$O$2,VLOOKUP(Table1[[#This Row],[sheet]],Prg!$A$7:$F$31,6,FALSE)=Prg!$O$3),"Yes","No")</f>
        <v>Yes</v>
      </c>
      <c r="AB1153">
        <v>2024</v>
      </c>
      <c r="AC1153">
        <v>17</v>
      </c>
      <c r="AD1153">
        <f ca="1">IF(ISERROR(VLOOKUP(Table1[[#This Row],[item]],INDIRECT("'"&amp;Table1[[#This Row],[sheet]]&amp;"'!$A$8:$T$42"),Table1[[#This Row],[r]],FALSE)),"",VLOOKUP(Table1[[#This Row],[item]],INDIRECT("'"&amp;Table1[[#This Row],[sheet]]&amp;"'!$A$8:$T$42"),Table1[[#This Row],[r]],FALSE))</f>
        <v>0</v>
      </c>
      <c r="AE1153">
        <f>IF(VLOOKUP(Table1[[#This Row],[sheet]],Prg!$A$7:$J$31,10,FALSE)="","",VLOOKUP(Table1[[#This Row],[sheet]],Prg!$A$7:$J$31,10,FALSE)*1)</f>
        <v>1</v>
      </c>
      <c r="AF1153" t="str">
        <f>VLOOKUP(Table1[[#This Row],[sheet]],Prg!$A$7:$J$31,5,FALSE)</f>
        <v>CONGO (DEMOCRATIC REP.)</v>
      </c>
      <c r="AG1153">
        <f>ROW()</f>
        <v>1153</v>
      </c>
    </row>
    <row r="1154" spans="24:33" hidden="1" x14ac:dyDescent="0.25">
      <c r="X1154">
        <v>7</v>
      </c>
      <c r="Y1154" t="s">
        <v>760</v>
      </c>
      <c r="Z1154" t="s">
        <v>174</v>
      </c>
      <c r="AA1154" t="str">
        <f>IF(OR(VLOOKUP(Table1[[#This Row],[sheet]],Prg!$A$7:$F$31,6,FALSE)=Prg!$O$2,VLOOKUP(Table1[[#This Row],[sheet]],Prg!$A$7:$F$31,6,FALSE)=Prg!$O$3),"Yes","No")</f>
        <v>Yes</v>
      </c>
      <c r="AB1154">
        <v>2024</v>
      </c>
      <c r="AC1154">
        <v>17</v>
      </c>
      <c r="AD1154">
        <f ca="1">IF(ISERROR(VLOOKUP(Table1[[#This Row],[item]],INDIRECT("'"&amp;Table1[[#This Row],[sheet]]&amp;"'!$A$8:$T$42"),Table1[[#This Row],[r]],FALSE)),"",VLOOKUP(Table1[[#This Row],[item]],INDIRECT("'"&amp;Table1[[#This Row],[sheet]]&amp;"'!$A$8:$T$42"),Table1[[#This Row],[r]],FALSE))</f>
        <v>7767.18</v>
      </c>
      <c r="AE1154">
        <f>IF(VLOOKUP(Table1[[#This Row],[sheet]],Prg!$A$7:$J$31,10,FALSE)="","",VLOOKUP(Table1[[#This Row],[sheet]],Prg!$A$7:$J$31,10,FALSE)*1)</f>
        <v>1</v>
      </c>
      <c r="AF1154" t="str">
        <f>VLOOKUP(Table1[[#This Row],[sheet]],Prg!$A$7:$J$31,5,FALSE)</f>
        <v>CONGO (DEMOCRATIC REP.)</v>
      </c>
      <c r="AG1154">
        <f>ROW()</f>
        <v>1154</v>
      </c>
    </row>
    <row r="1155" spans="24:33" hidden="1" x14ac:dyDescent="0.25">
      <c r="X1155">
        <v>7</v>
      </c>
      <c r="Y1155" t="s">
        <v>761</v>
      </c>
      <c r="Z1155" t="s">
        <v>762</v>
      </c>
      <c r="AA1155" t="str">
        <f>IF(OR(VLOOKUP(Table1[[#This Row],[sheet]],Prg!$A$7:$F$31,6,FALSE)=Prg!$O$2,VLOOKUP(Table1[[#This Row],[sheet]],Prg!$A$7:$F$31,6,FALSE)=Prg!$O$3),"Yes","No")</f>
        <v>Yes</v>
      </c>
      <c r="AB1155">
        <v>2024</v>
      </c>
      <c r="AC1155">
        <v>17</v>
      </c>
      <c r="AD1155">
        <f ca="1">IF(ISERROR(VLOOKUP(Table1[[#This Row],[item]],INDIRECT("'"&amp;Table1[[#This Row],[sheet]]&amp;"'!$A$8:$T$42"),Table1[[#This Row],[r]],FALSE)),"",VLOOKUP(Table1[[#This Row],[item]],INDIRECT("'"&amp;Table1[[#This Row],[sheet]]&amp;"'!$A$8:$T$42"),Table1[[#This Row],[r]],FALSE))</f>
        <v>2250</v>
      </c>
      <c r="AE1155">
        <f>IF(VLOOKUP(Table1[[#This Row],[sheet]],Prg!$A$7:$J$31,10,FALSE)="","",VLOOKUP(Table1[[#This Row],[sheet]],Prg!$A$7:$J$31,10,FALSE)*1)</f>
        <v>1</v>
      </c>
      <c r="AF1155" t="str">
        <f>VLOOKUP(Table1[[#This Row],[sheet]],Prg!$A$7:$J$31,5,FALSE)</f>
        <v>CONGO (DEMOCRATIC REP.)</v>
      </c>
      <c r="AG1155">
        <f>ROW()</f>
        <v>1155</v>
      </c>
    </row>
    <row r="1156" spans="24:33" hidden="1" x14ac:dyDescent="0.25">
      <c r="X1156">
        <v>7</v>
      </c>
      <c r="Y1156" t="s">
        <v>763</v>
      </c>
      <c r="Z1156" t="s">
        <v>178</v>
      </c>
      <c r="AA1156" t="str">
        <f>IF(OR(VLOOKUP(Table1[[#This Row],[sheet]],Prg!$A$7:$F$31,6,FALSE)=Prg!$O$2,VLOOKUP(Table1[[#This Row],[sheet]],Prg!$A$7:$F$31,6,FALSE)=Prg!$O$3),"Yes","No")</f>
        <v>Yes</v>
      </c>
      <c r="AB1156">
        <v>2024</v>
      </c>
      <c r="AC1156">
        <v>17</v>
      </c>
      <c r="AD1156">
        <f ca="1">IF(ISERROR(VLOOKUP(Table1[[#This Row],[item]],INDIRECT("'"&amp;Table1[[#This Row],[sheet]]&amp;"'!$A$8:$T$42"),Table1[[#This Row],[r]],FALSE)),"",VLOOKUP(Table1[[#This Row],[item]],INDIRECT("'"&amp;Table1[[#This Row],[sheet]]&amp;"'!$A$8:$T$42"),Table1[[#This Row],[r]],FALSE))</f>
        <v>160535.28</v>
      </c>
      <c r="AE1156">
        <f>IF(VLOOKUP(Table1[[#This Row],[sheet]],Prg!$A$7:$J$31,10,FALSE)="","",VLOOKUP(Table1[[#This Row],[sheet]],Prg!$A$7:$J$31,10,FALSE)*1)</f>
        <v>1</v>
      </c>
      <c r="AF1156" t="str">
        <f>VLOOKUP(Table1[[#This Row],[sheet]],Prg!$A$7:$J$31,5,FALSE)</f>
        <v>CONGO (DEMOCRATIC REP.)</v>
      </c>
      <c r="AG1156">
        <f>ROW()</f>
        <v>1156</v>
      </c>
    </row>
    <row r="1157" spans="24:33" hidden="1" x14ac:dyDescent="0.25">
      <c r="X1157">
        <v>7</v>
      </c>
      <c r="Y1157" t="s">
        <v>764</v>
      </c>
      <c r="Z1157" t="s">
        <v>109</v>
      </c>
      <c r="AA1157" t="str">
        <f>IF(OR(VLOOKUP(Table1[[#This Row],[sheet]],Prg!$A$7:$F$31,6,FALSE)=Prg!$O$2,VLOOKUP(Table1[[#This Row],[sheet]],Prg!$A$7:$F$31,6,FALSE)=Prg!$O$3),"Yes","No")</f>
        <v>Yes</v>
      </c>
      <c r="AB1157">
        <v>2024</v>
      </c>
      <c r="AC1157">
        <v>17</v>
      </c>
      <c r="AD1157">
        <f ca="1">IF(ISERROR(VLOOKUP(Table1[[#This Row],[item]],INDIRECT("'"&amp;Table1[[#This Row],[sheet]]&amp;"'!$A$8:$T$42"),Table1[[#This Row],[r]],FALSE)),"",VLOOKUP(Table1[[#This Row],[item]],INDIRECT("'"&amp;Table1[[#This Row],[sheet]]&amp;"'!$A$8:$T$42"),Table1[[#This Row],[r]],FALSE))</f>
        <v>0</v>
      </c>
      <c r="AE1157">
        <f>IF(VLOOKUP(Table1[[#This Row],[sheet]],Prg!$A$7:$J$31,10,FALSE)="","",VLOOKUP(Table1[[#This Row],[sheet]],Prg!$A$7:$J$31,10,FALSE)*1)</f>
        <v>1</v>
      </c>
      <c r="AF1157" t="str">
        <f>VLOOKUP(Table1[[#This Row],[sheet]],Prg!$A$7:$J$31,5,FALSE)</f>
        <v>CONGO (DEMOCRATIC REP.)</v>
      </c>
      <c r="AG1157">
        <f>ROW()</f>
        <v>1157</v>
      </c>
    </row>
    <row r="1158" spans="24:33" hidden="1" x14ac:dyDescent="0.25">
      <c r="X1158">
        <v>7</v>
      </c>
      <c r="Y1158" t="s">
        <v>765</v>
      </c>
      <c r="Z1158" t="s">
        <v>117</v>
      </c>
      <c r="AA1158" t="str">
        <f>IF(OR(VLOOKUP(Table1[[#This Row],[sheet]],Prg!$A$7:$F$31,6,FALSE)=Prg!$O$2,VLOOKUP(Table1[[#This Row],[sheet]],Prg!$A$7:$F$31,6,FALSE)=Prg!$O$3),"Yes","No")</f>
        <v>Yes</v>
      </c>
      <c r="AB1158">
        <v>2024</v>
      </c>
      <c r="AC1158">
        <v>17</v>
      </c>
      <c r="AD1158">
        <f ca="1">IF(ISERROR(VLOOKUP(Table1[[#This Row],[item]],INDIRECT("'"&amp;Table1[[#This Row],[sheet]]&amp;"'!$A$8:$T$42"),Table1[[#This Row],[r]],FALSE)),"",VLOOKUP(Table1[[#This Row],[item]],INDIRECT("'"&amp;Table1[[#This Row],[sheet]]&amp;"'!$A$8:$T$42"),Table1[[#This Row],[r]],FALSE))</f>
        <v>44348.84</v>
      </c>
      <c r="AE1158">
        <f>IF(VLOOKUP(Table1[[#This Row],[sheet]],Prg!$A$7:$J$31,10,FALSE)="","",VLOOKUP(Table1[[#This Row],[sheet]],Prg!$A$7:$J$31,10,FALSE)*1)</f>
        <v>1</v>
      </c>
      <c r="AF1158" t="str">
        <f>VLOOKUP(Table1[[#This Row],[sheet]],Prg!$A$7:$J$31,5,FALSE)</f>
        <v>CONGO (DEMOCRATIC REP.)</v>
      </c>
      <c r="AG1158">
        <f>ROW()</f>
        <v>1158</v>
      </c>
    </row>
    <row r="1159" spans="24:33" hidden="1" x14ac:dyDescent="0.25">
      <c r="X1159">
        <v>7</v>
      </c>
      <c r="Y1159" t="s">
        <v>766</v>
      </c>
      <c r="Z1159" t="s">
        <v>767</v>
      </c>
      <c r="AA1159" t="str">
        <f>IF(OR(VLOOKUP(Table1[[#This Row],[sheet]],Prg!$A$7:$F$31,6,FALSE)=Prg!$O$2,VLOOKUP(Table1[[#This Row],[sheet]],Prg!$A$7:$F$31,6,FALSE)=Prg!$O$3),"Yes","No")</f>
        <v>Yes</v>
      </c>
      <c r="AB1159">
        <v>2024</v>
      </c>
      <c r="AC1159">
        <v>17</v>
      </c>
      <c r="AD1159">
        <f ca="1">IF(ISERROR(VLOOKUP(Table1[[#This Row],[item]],INDIRECT("'"&amp;Table1[[#This Row],[sheet]]&amp;"'!$A$8:$T$42"),Table1[[#This Row],[r]],FALSE)),"",VLOOKUP(Table1[[#This Row],[item]],INDIRECT("'"&amp;Table1[[#This Row],[sheet]]&amp;"'!$A$8:$T$42"),Table1[[#This Row],[r]],FALSE))</f>
        <v>116186.44</v>
      </c>
      <c r="AE1159">
        <f>IF(VLOOKUP(Table1[[#This Row],[sheet]],Prg!$A$7:$J$31,10,FALSE)="","",VLOOKUP(Table1[[#This Row],[sheet]],Prg!$A$7:$J$31,10,FALSE)*1)</f>
        <v>1</v>
      </c>
      <c r="AF1159" t="str">
        <f>VLOOKUP(Table1[[#This Row],[sheet]],Prg!$A$7:$J$31,5,FALSE)</f>
        <v>CONGO (DEMOCRATIC REP.)</v>
      </c>
      <c r="AG1159">
        <f>ROW()</f>
        <v>1159</v>
      </c>
    </row>
    <row r="1160" spans="24:33" hidden="1" x14ac:dyDescent="0.25">
      <c r="X1160">
        <v>7</v>
      </c>
      <c r="Y1160" t="s">
        <v>768</v>
      </c>
      <c r="Z1160" t="s">
        <v>182</v>
      </c>
      <c r="AA1160" t="str">
        <f>IF(OR(VLOOKUP(Table1[[#This Row],[sheet]],Prg!$A$7:$F$31,6,FALSE)=Prg!$O$2,VLOOKUP(Table1[[#This Row],[sheet]],Prg!$A$7:$F$31,6,FALSE)=Prg!$O$3),"Yes","No")</f>
        <v>Yes</v>
      </c>
      <c r="AB1160">
        <v>2024</v>
      </c>
      <c r="AC1160">
        <v>17</v>
      </c>
      <c r="AD1160">
        <f ca="1">IF(ISERROR(VLOOKUP(Table1[[#This Row],[item]],INDIRECT("'"&amp;Table1[[#This Row],[sheet]]&amp;"'!$A$8:$T$42"),Table1[[#This Row],[r]],FALSE)),"",VLOOKUP(Table1[[#This Row],[item]],INDIRECT("'"&amp;Table1[[#This Row],[sheet]]&amp;"'!$A$8:$T$42"),Table1[[#This Row],[r]],FALSE))</f>
        <v>4000</v>
      </c>
      <c r="AE1160">
        <f>IF(VLOOKUP(Table1[[#This Row],[sheet]],Prg!$A$7:$J$31,10,FALSE)="","",VLOOKUP(Table1[[#This Row],[sheet]],Prg!$A$7:$J$31,10,FALSE)*1)</f>
        <v>1</v>
      </c>
      <c r="AF1160" t="str">
        <f>VLOOKUP(Table1[[#This Row],[sheet]],Prg!$A$7:$J$31,5,FALSE)</f>
        <v>CONGO (DEMOCRATIC REP.)</v>
      </c>
      <c r="AG1160">
        <f>ROW()</f>
        <v>1160</v>
      </c>
    </row>
    <row r="1161" spans="24:33" hidden="1" x14ac:dyDescent="0.25">
      <c r="X1161">
        <v>7</v>
      </c>
      <c r="Y1161" t="s">
        <v>769</v>
      </c>
      <c r="Z1161" t="s">
        <v>184</v>
      </c>
      <c r="AA1161" t="str">
        <f>IF(OR(VLOOKUP(Table1[[#This Row],[sheet]],Prg!$A$7:$F$31,6,FALSE)=Prg!$O$2,VLOOKUP(Table1[[#This Row],[sheet]],Prg!$A$7:$F$31,6,FALSE)=Prg!$O$3),"Yes","No")</f>
        <v>Yes</v>
      </c>
      <c r="AB1161">
        <v>2024</v>
      </c>
      <c r="AC1161">
        <v>17</v>
      </c>
      <c r="AD1161">
        <f ca="1">IF(ISERROR(VLOOKUP(Table1[[#This Row],[item]],INDIRECT("'"&amp;Table1[[#This Row],[sheet]]&amp;"'!$A$8:$T$42"),Table1[[#This Row],[r]],FALSE)),"",VLOOKUP(Table1[[#This Row],[item]],INDIRECT("'"&amp;Table1[[#This Row],[sheet]]&amp;"'!$A$8:$T$42"),Table1[[#This Row],[r]],FALSE))</f>
        <v>0</v>
      </c>
      <c r="AE1161">
        <f>IF(VLOOKUP(Table1[[#This Row],[sheet]],Prg!$A$7:$J$31,10,FALSE)="","",VLOOKUP(Table1[[#This Row],[sheet]],Prg!$A$7:$J$31,10,FALSE)*1)</f>
        <v>1</v>
      </c>
      <c r="AF1161" t="str">
        <f>VLOOKUP(Table1[[#This Row],[sheet]],Prg!$A$7:$J$31,5,FALSE)</f>
        <v>CONGO (DEMOCRATIC REP.)</v>
      </c>
      <c r="AG1161">
        <f>ROW()</f>
        <v>1161</v>
      </c>
    </row>
    <row r="1162" spans="24:33" hidden="1" x14ac:dyDescent="0.25">
      <c r="X1162">
        <v>7</v>
      </c>
      <c r="Y1162" t="s">
        <v>770</v>
      </c>
      <c r="Z1162" t="s">
        <v>186</v>
      </c>
      <c r="AA1162" t="str">
        <f>IF(OR(VLOOKUP(Table1[[#This Row],[sheet]],Prg!$A$7:$F$31,6,FALSE)=Prg!$O$2,VLOOKUP(Table1[[#This Row],[sheet]],Prg!$A$7:$F$31,6,FALSE)=Prg!$O$3),"Yes","No")</f>
        <v>Yes</v>
      </c>
      <c r="AB1162">
        <v>2024</v>
      </c>
      <c r="AC1162">
        <v>17</v>
      </c>
      <c r="AD1162">
        <f ca="1">IF(ISERROR(VLOOKUP(Table1[[#This Row],[item]],INDIRECT("'"&amp;Table1[[#This Row],[sheet]]&amp;"'!$A$8:$T$42"),Table1[[#This Row],[r]],FALSE)),"",VLOOKUP(Table1[[#This Row],[item]],INDIRECT("'"&amp;Table1[[#This Row],[sheet]]&amp;"'!$A$8:$T$42"),Table1[[#This Row],[r]],FALSE))</f>
        <v>4000</v>
      </c>
      <c r="AE1162">
        <f>IF(VLOOKUP(Table1[[#This Row],[sheet]],Prg!$A$7:$J$31,10,FALSE)="","",VLOOKUP(Table1[[#This Row],[sheet]],Prg!$A$7:$J$31,10,FALSE)*1)</f>
        <v>1</v>
      </c>
      <c r="AF1162" t="str">
        <f>VLOOKUP(Table1[[#This Row],[sheet]],Prg!$A$7:$J$31,5,FALSE)</f>
        <v>CONGO (DEMOCRATIC REP.)</v>
      </c>
      <c r="AG1162">
        <f>ROW()</f>
        <v>1162</v>
      </c>
    </row>
    <row r="1163" spans="24:33" hidden="1" x14ac:dyDescent="0.25">
      <c r="X1163">
        <v>7</v>
      </c>
      <c r="Y1163" t="s">
        <v>771</v>
      </c>
      <c r="Z1163" t="s">
        <v>772</v>
      </c>
      <c r="AA1163" t="str">
        <f>IF(OR(VLOOKUP(Table1[[#This Row],[sheet]],Prg!$A$7:$F$31,6,FALSE)=Prg!$O$2,VLOOKUP(Table1[[#This Row],[sheet]],Prg!$A$7:$F$31,6,FALSE)=Prg!$O$3),"Yes","No")</f>
        <v>Yes</v>
      </c>
      <c r="AB1163">
        <v>2024</v>
      </c>
      <c r="AC1163">
        <v>17</v>
      </c>
      <c r="AD1163">
        <f ca="1">IF(ISERROR(VLOOKUP(Table1[[#This Row],[item]],INDIRECT("'"&amp;Table1[[#This Row],[sheet]]&amp;"'!$A$8:$T$42"),Table1[[#This Row],[r]],FALSE)),"",VLOOKUP(Table1[[#This Row],[item]],INDIRECT("'"&amp;Table1[[#This Row],[sheet]]&amp;"'!$A$8:$T$42"),Table1[[#This Row],[r]],FALSE))</f>
        <v>0</v>
      </c>
      <c r="AE1163">
        <f>IF(VLOOKUP(Table1[[#This Row],[sheet]],Prg!$A$7:$J$31,10,FALSE)="","",VLOOKUP(Table1[[#This Row],[sheet]],Prg!$A$7:$J$31,10,FALSE)*1)</f>
        <v>1</v>
      </c>
      <c r="AF1163" t="str">
        <f>VLOOKUP(Table1[[#This Row],[sheet]],Prg!$A$7:$J$31,5,FALSE)</f>
        <v>CONGO (DEMOCRATIC REP.)</v>
      </c>
      <c r="AG1163">
        <f>ROW()</f>
        <v>1163</v>
      </c>
    </row>
    <row r="1164" spans="24:33" hidden="1" x14ac:dyDescent="0.25">
      <c r="X1164">
        <v>7</v>
      </c>
      <c r="Y1164" t="s">
        <v>773</v>
      </c>
      <c r="Z1164" t="s">
        <v>190</v>
      </c>
      <c r="AA1164" t="str">
        <f>IF(OR(VLOOKUP(Table1[[#This Row],[sheet]],Prg!$A$7:$F$31,6,FALSE)=Prg!$O$2,VLOOKUP(Table1[[#This Row],[sheet]],Prg!$A$7:$F$31,6,FALSE)=Prg!$O$3),"Yes","No")</f>
        <v>Yes</v>
      </c>
      <c r="AB1164">
        <v>2024</v>
      </c>
      <c r="AC1164">
        <v>17</v>
      </c>
      <c r="AD1164">
        <f ca="1">IF(ISERROR(VLOOKUP(Table1[[#This Row],[item]],INDIRECT("'"&amp;Table1[[#This Row],[sheet]]&amp;"'!$A$8:$T$42"),Table1[[#This Row],[r]],FALSE)),"",VLOOKUP(Table1[[#This Row],[item]],INDIRECT("'"&amp;Table1[[#This Row],[sheet]]&amp;"'!$A$8:$T$42"),Table1[[#This Row],[r]],FALSE))</f>
        <v>392215.94272727275</v>
      </c>
      <c r="AE1164">
        <f>IF(VLOOKUP(Table1[[#This Row],[sheet]],Prg!$A$7:$J$31,10,FALSE)="","",VLOOKUP(Table1[[#This Row],[sheet]],Prg!$A$7:$J$31,10,FALSE)*1)</f>
        <v>1</v>
      </c>
      <c r="AF1164" t="str">
        <f>VLOOKUP(Table1[[#This Row],[sheet]],Prg!$A$7:$J$31,5,FALSE)</f>
        <v>CONGO (DEMOCRATIC REP.)</v>
      </c>
      <c r="AG1164">
        <f>ROW()</f>
        <v>1164</v>
      </c>
    </row>
    <row r="1165" spans="24:33" hidden="1" x14ac:dyDescent="0.25">
      <c r="X1165">
        <v>7</v>
      </c>
      <c r="Y1165" t="s">
        <v>709</v>
      </c>
      <c r="Z1165" t="s">
        <v>192</v>
      </c>
      <c r="AA1165" t="str">
        <f>IF(OR(VLOOKUP(Table1[[#This Row],[sheet]],Prg!$A$7:$F$31,6,FALSE)=Prg!$O$2,VLOOKUP(Table1[[#This Row],[sheet]],Prg!$A$7:$F$31,6,FALSE)=Prg!$O$3),"Yes","No")</f>
        <v>Yes</v>
      </c>
      <c r="AB1165">
        <v>2024</v>
      </c>
      <c r="AC1165">
        <v>17</v>
      </c>
      <c r="AD1165">
        <f ca="1">IF(ISERROR(VLOOKUP(Table1[[#This Row],[item]],INDIRECT("'"&amp;Table1[[#This Row],[sheet]]&amp;"'!$A$8:$T$42"),Table1[[#This Row],[r]],FALSE)),"",VLOOKUP(Table1[[#This Row],[item]],INDIRECT("'"&amp;Table1[[#This Row],[sheet]]&amp;"'!$A$8:$T$42"),Table1[[#This Row],[r]],FALSE))</f>
        <v>3640</v>
      </c>
      <c r="AE1165">
        <f>IF(VLOOKUP(Table1[[#This Row],[sheet]],Prg!$A$7:$J$31,10,FALSE)="","",VLOOKUP(Table1[[#This Row],[sheet]],Prg!$A$7:$J$31,10,FALSE)*1)</f>
        <v>1</v>
      </c>
      <c r="AF1165" t="str">
        <f>VLOOKUP(Table1[[#This Row],[sheet]],Prg!$A$7:$J$31,5,FALSE)</f>
        <v>CONGO (DEMOCRATIC REP.)</v>
      </c>
      <c r="AG1165">
        <f>ROW()</f>
        <v>1165</v>
      </c>
    </row>
    <row r="1166" spans="24:33" hidden="1" x14ac:dyDescent="0.25">
      <c r="X1166">
        <v>7</v>
      </c>
      <c r="Y1166" t="s">
        <v>774</v>
      </c>
      <c r="Z1166" t="s">
        <v>194</v>
      </c>
      <c r="AA1166" t="str">
        <f>IF(OR(VLOOKUP(Table1[[#This Row],[sheet]],Prg!$A$7:$F$31,6,FALSE)=Prg!$O$2,VLOOKUP(Table1[[#This Row],[sheet]],Prg!$A$7:$F$31,6,FALSE)=Prg!$O$3),"Yes","No")</f>
        <v>Yes</v>
      </c>
      <c r="AB1166">
        <v>2024</v>
      </c>
      <c r="AC1166">
        <v>17</v>
      </c>
      <c r="AD1166">
        <f ca="1">IF(ISERROR(VLOOKUP(Table1[[#This Row],[item]],INDIRECT("'"&amp;Table1[[#This Row],[sheet]]&amp;"'!$A$8:$T$42"),Table1[[#This Row],[r]],FALSE)),"",VLOOKUP(Table1[[#This Row],[item]],INDIRECT("'"&amp;Table1[[#This Row],[sheet]]&amp;"'!$A$8:$T$42"),Table1[[#This Row],[r]],FALSE))</f>
        <v>0</v>
      </c>
      <c r="AE1166">
        <f>IF(VLOOKUP(Table1[[#This Row],[sheet]],Prg!$A$7:$J$31,10,FALSE)="","",VLOOKUP(Table1[[#This Row],[sheet]],Prg!$A$7:$J$31,10,FALSE)*1)</f>
        <v>1</v>
      </c>
      <c r="AF1166" t="str">
        <f>VLOOKUP(Table1[[#This Row],[sheet]],Prg!$A$7:$J$31,5,FALSE)</f>
        <v>CONGO (DEMOCRATIC REP.)</v>
      </c>
      <c r="AG1166">
        <f>ROW()</f>
        <v>1166</v>
      </c>
    </row>
    <row r="1167" spans="24:33" hidden="1" x14ac:dyDescent="0.25">
      <c r="X1167">
        <v>7</v>
      </c>
      <c r="Y1167" t="s">
        <v>775</v>
      </c>
      <c r="Z1167" t="s">
        <v>196</v>
      </c>
      <c r="AA1167" t="str">
        <f>IF(OR(VLOOKUP(Table1[[#This Row],[sheet]],Prg!$A$7:$F$31,6,FALSE)=Prg!$O$2,VLOOKUP(Table1[[#This Row],[sheet]],Prg!$A$7:$F$31,6,FALSE)=Prg!$O$3),"Yes","No")</f>
        <v>Yes</v>
      </c>
      <c r="AB1167">
        <v>2024</v>
      </c>
      <c r="AC1167">
        <v>17</v>
      </c>
      <c r="AD1167">
        <f ca="1">IF(ISERROR(VLOOKUP(Table1[[#This Row],[item]],INDIRECT("'"&amp;Table1[[#This Row],[sheet]]&amp;"'!$A$8:$T$42"),Table1[[#This Row],[r]],FALSE)),"",VLOOKUP(Table1[[#This Row],[item]],INDIRECT("'"&amp;Table1[[#This Row],[sheet]]&amp;"'!$A$8:$T$42"),Table1[[#This Row],[r]],FALSE))</f>
        <v>0</v>
      </c>
      <c r="AE1167">
        <f>IF(VLOOKUP(Table1[[#This Row],[sheet]],Prg!$A$7:$J$31,10,FALSE)="","",VLOOKUP(Table1[[#This Row],[sheet]],Prg!$A$7:$J$31,10,FALSE)*1)</f>
        <v>1</v>
      </c>
      <c r="AF1167" t="str">
        <f>VLOOKUP(Table1[[#This Row],[sheet]],Prg!$A$7:$J$31,5,FALSE)</f>
        <v>CONGO (DEMOCRATIC REP.)</v>
      </c>
      <c r="AG1167">
        <f>ROW()</f>
        <v>1167</v>
      </c>
    </row>
    <row r="1168" spans="24:33" hidden="1" x14ac:dyDescent="0.25">
      <c r="X1168">
        <v>7</v>
      </c>
      <c r="Y1168" t="s">
        <v>776</v>
      </c>
      <c r="Z1168" t="s">
        <v>605</v>
      </c>
      <c r="AA1168" t="str">
        <f>IF(OR(VLOOKUP(Table1[[#This Row],[sheet]],Prg!$A$7:$F$31,6,FALSE)=Prg!$O$2,VLOOKUP(Table1[[#This Row],[sheet]],Prg!$A$7:$F$31,6,FALSE)=Prg!$O$3),"Yes","No")</f>
        <v>Yes</v>
      </c>
      <c r="AB1168">
        <v>2024</v>
      </c>
      <c r="AC1168">
        <v>17</v>
      </c>
      <c r="AD1168">
        <f ca="1">IF(ISERROR(VLOOKUP(Table1[[#This Row],[item]],INDIRECT("'"&amp;Table1[[#This Row],[sheet]]&amp;"'!$A$8:$T$42"),Table1[[#This Row],[r]],FALSE)),"",VLOOKUP(Table1[[#This Row],[item]],INDIRECT("'"&amp;Table1[[#This Row],[sheet]]&amp;"'!$A$8:$T$42"),Table1[[#This Row],[r]],FALSE))</f>
        <v>3640</v>
      </c>
      <c r="AE1168">
        <f>IF(VLOOKUP(Table1[[#This Row],[sheet]],Prg!$A$7:$J$31,10,FALSE)="","",VLOOKUP(Table1[[#This Row],[sheet]],Prg!$A$7:$J$31,10,FALSE)*1)</f>
        <v>1</v>
      </c>
      <c r="AF1168" t="str">
        <f>VLOOKUP(Table1[[#This Row],[sheet]],Prg!$A$7:$J$31,5,FALSE)</f>
        <v>CONGO (DEMOCRATIC REP.)</v>
      </c>
      <c r="AG1168">
        <f>ROW()</f>
        <v>1168</v>
      </c>
    </row>
    <row r="1169" spans="24:33" hidden="1" x14ac:dyDescent="0.25">
      <c r="X1169">
        <v>7</v>
      </c>
      <c r="Y1169" t="s">
        <v>711</v>
      </c>
      <c r="Z1169" t="s">
        <v>200</v>
      </c>
      <c r="AA1169" t="str">
        <f>IF(OR(VLOOKUP(Table1[[#This Row],[sheet]],Prg!$A$7:$F$31,6,FALSE)=Prg!$O$2,VLOOKUP(Table1[[#This Row],[sheet]],Prg!$A$7:$F$31,6,FALSE)=Prg!$O$3),"Yes","No")</f>
        <v>Yes</v>
      </c>
      <c r="AB1169">
        <v>2024</v>
      </c>
      <c r="AC1169">
        <v>17</v>
      </c>
      <c r="AD1169">
        <f ca="1">IF(ISERROR(VLOOKUP(Table1[[#This Row],[item]],INDIRECT("'"&amp;Table1[[#This Row],[sheet]]&amp;"'!$A$8:$T$42"),Table1[[#This Row],[r]],FALSE)),"",VLOOKUP(Table1[[#This Row],[item]],INDIRECT("'"&amp;Table1[[#This Row],[sheet]]&amp;"'!$A$8:$T$42"),Table1[[#This Row],[r]],FALSE))</f>
        <v>201853.50272727275</v>
      </c>
      <c r="AE1169">
        <f>IF(VLOOKUP(Table1[[#This Row],[sheet]],Prg!$A$7:$J$31,10,FALSE)="","",VLOOKUP(Table1[[#This Row],[sheet]],Prg!$A$7:$J$31,10,FALSE)*1)</f>
        <v>1</v>
      </c>
      <c r="AF1169" t="str">
        <f>VLOOKUP(Table1[[#This Row],[sheet]],Prg!$A$7:$J$31,5,FALSE)</f>
        <v>CONGO (DEMOCRATIC REP.)</v>
      </c>
      <c r="AG1169">
        <f>ROW()</f>
        <v>1169</v>
      </c>
    </row>
    <row r="1170" spans="24:33" hidden="1" x14ac:dyDescent="0.25">
      <c r="X1170">
        <v>7</v>
      </c>
      <c r="Y1170" t="s">
        <v>777</v>
      </c>
      <c r="Z1170" t="s">
        <v>202</v>
      </c>
      <c r="AA1170" t="str">
        <f>IF(OR(VLOOKUP(Table1[[#This Row],[sheet]],Prg!$A$7:$F$31,6,FALSE)=Prg!$O$2,VLOOKUP(Table1[[#This Row],[sheet]],Prg!$A$7:$F$31,6,FALSE)=Prg!$O$3),"Yes","No")</f>
        <v>Yes</v>
      </c>
      <c r="AB1170">
        <v>2024</v>
      </c>
      <c r="AC1170">
        <v>17</v>
      </c>
      <c r="AD1170">
        <f ca="1">IF(ISERROR(VLOOKUP(Table1[[#This Row],[item]],INDIRECT("'"&amp;Table1[[#This Row],[sheet]]&amp;"'!$A$8:$T$42"),Table1[[#This Row],[r]],FALSE)),"",VLOOKUP(Table1[[#This Row],[item]],INDIRECT("'"&amp;Table1[[#This Row],[sheet]]&amp;"'!$A$8:$T$42"),Table1[[#This Row],[r]],FALSE))</f>
        <v>40875.68</v>
      </c>
      <c r="AE1170">
        <f>IF(VLOOKUP(Table1[[#This Row],[sheet]],Prg!$A$7:$J$31,10,FALSE)="","",VLOOKUP(Table1[[#This Row],[sheet]],Prg!$A$7:$J$31,10,FALSE)*1)</f>
        <v>1</v>
      </c>
      <c r="AF1170" t="str">
        <f>VLOOKUP(Table1[[#This Row],[sheet]],Prg!$A$7:$J$31,5,FALSE)</f>
        <v>CONGO (DEMOCRATIC REP.)</v>
      </c>
      <c r="AG1170">
        <f>ROW()</f>
        <v>1170</v>
      </c>
    </row>
    <row r="1171" spans="24:33" hidden="1" x14ac:dyDescent="0.25">
      <c r="X1171">
        <v>7</v>
      </c>
      <c r="Y1171" t="s">
        <v>778</v>
      </c>
      <c r="Z1171" t="s">
        <v>204</v>
      </c>
      <c r="AA1171" t="str">
        <f>IF(OR(VLOOKUP(Table1[[#This Row],[sheet]],Prg!$A$7:$F$31,6,FALSE)=Prg!$O$2,VLOOKUP(Table1[[#This Row],[sheet]],Prg!$A$7:$F$31,6,FALSE)=Prg!$O$3),"Yes","No")</f>
        <v>Yes</v>
      </c>
      <c r="AB1171">
        <v>2024</v>
      </c>
      <c r="AC1171">
        <v>17</v>
      </c>
      <c r="AD1171">
        <f ca="1">IF(ISERROR(VLOOKUP(Table1[[#This Row],[item]],INDIRECT("'"&amp;Table1[[#This Row],[sheet]]&amp;"'!$A$8:$T$42"),Table1[[#This Row],[r]],FALSE)),"",VLOOKUP(Table1[[#This Row],[item]],INDIRECT("'"&amp;Table1[[#This Row],[sheet]]&amp;"'!$A$8:$T$42"),Table1[[#This Row],[r]],FALSE))</f>
        <v>44190.832727272733</v>
      </c>
      <c r="AE1171">
        <f>IF(VLOOKUP(Table1[[#This Row],[sheet]],Prg!$A$7:$J$31,10,FALSE)="","",VLOOKUP(Table1[[#This Row],[sheet]],Prg!$A$7:$J$31,10,FALSE)*1)</f>
        <v>1</v>
      </c>
      <c r="AF1171" t="str">
        <f>VLOOKUP(Table1[[#This Row],[sheet]],Prg!$A$7:$J$31,5,FALSE)</f>
        <v>CONGO (DEMOCRATIC REP.)</v>
      </c>
      <c r="AG1171">
        <f>ROW()</f>
        <v>1171</v>
      </c>
    </row>
    <row r="1172" spans="24:33" hidden="1" x14ac:dyDescent="0.25">
      <c r="X1172">
        <v>7</v>
      </c>
      <c r="Y1172" t="s">
        <v>779</v>
      </c>
      <c r="Z1172" t="s">
        <v>605</v>
      </c>
      <c r="AA1172" t="str">
        <f>IF(OR(VLOOKUP(Table1[[#This Row],[sheet]],Prg!$A$7:$F$31,6,FALSE)=Prg!$O$2,VLOOKUP(Table1[[#This Row],[sheet]],Prg!$A$7:$F$31,6,FALSE)=Prg!$O$3),"Yes","No")</f>
        <v>Yes</v>
      </c>
      <c r="AB1172">
        <v>2024</v>
      </c>
      <c r="AC1172">
        <v>17</v>
      </c>
      <c r="AD1172">
        <f ca="1">IF(ISERROR(VLOOKUP(Table1[[#This Row],[item]],INDIRECT("'"&amp;Table1[[#This Row],[sheet]]&amp;"'!$A$8:$T$42"),Table1[[#This Row],[r]],FALSE)),"",VLOOKUP(Table1[[#This Row],[item]],INDIRECT("'"&amp;Table1[[#This Row],[sheet]]&amp;"'!$A$8:$T$42"),Table1[[#This Row],[r]],FALSE))</f>
        <v>116786.99</v>
      </c>
      <c r="AE1172">
        <f>IF(VLOOKUP(Table1[[#This Row],[sheet]],Prg!$A$7:$J$31,10,FALSE)="","",VLOOKUP(Table1[[#This Row],[sheet]],Prg!$A$7:$J$31,10,FALSE)*1)</f>
        <v>1</v>
      </c>
      <c r="AF1172" t="str">
        <f>VLOOKUP(Table1[[#This Row],[sheet]],Prg!$A$7:$J$31,5,FALSE)</f>
        <v>CONGO (DEMOCRATIC REP.)</v>
      </c>
      <c r="AG1172">
        <f>ROW()</f>
        <v>1172</v>
      </c>
    </row>
    <row r="1173" spans="24:33" hidden="1" x14ac:dyDescent="0.25">
      <c r="X1173">
        <v>7</v>
      </c>
      <c r="Y1173" t="s">
        <v>712</v>
      </c>
      <c r="Z1173" t="s">
        <v>780</v>
      </c>
      <c r="AA1173" t="str">
        <f>IF(OR(VLOOKUP(Table1[[#This Row],[sheet]],Prg!$A$7:$F$31,6,FALSE)=Prg!$O$2,VLOOKUP(Table1[[#This Row],[sheet]],Prg!$A$7:$F$31,6,FALSE)=Prg!$O$3),"Yes","No")</f>
        <v>Yes</v>
      </c>
      <c r="AB1173">
        <v>2024</v>
      </c>
      <c r="AC1173">
        <v>17</v>
      </c>
      <c r="AD1173">
        <f ca="1">IF(ISERROR(VLOOKUP(Table1[[#This Row],[item]],INDIRECT("'"&amp;Table1[[#This Row],[sheet]]&amp;"'!$A$8:$T$42"),Table1[[#This Row],[r]],FALSE)),"",VLOOKUP(Table1[[#This Row],[item]],INDIRECT("'"&amp;Table1[[#This Row],[sheet]]&amp;"'!$A$8:$T$42"),Table1[[#This Row],[r]],FALSE))</f>
        <v>186722.44</v>
      </c>
      <c r="AE1173">
        <f>IF(VLOOKUP(Table1[[#This Row],[sheet]],Prg!$A$7:$J$31,10,FALSE)="","",VLOOKUP(Table1[[#This Row],[sheet]],Prg!$A$7:$J$31,10,FALSE)*1)</f>
        <v>1</v>
      </c>
      <c r="AF1173" t="str">
        <f>VLOOKUP(Table1[[#This Row],[sheet]],Prg!$A$7:$J$31,5,FALSE)</f>
        <v>CONGO (DEMOCRATIC REP.)</v>
      </c>
      <c r="AG1173">
        <f>ROW()</f>
        <v>1173</v>
      </c>
    </row>
    <row r="1174" spans="24:33" hidden="1" x14ac:dyDescent="0.25">
      <c r="X1174">
        <v>7</v>
      </c>
      <c r="Y1174" t="s">
        <v>781</v>
      </c>
      <c r="Z1174" t="s">
        <v>782</v>
      </c>
      <c r="AA1174" t="str">
        <f>IF(OR(VLOOKUP(Table1[[#This Row],[sheet]],Prg!$A$7:$F$31,6,FALSE)=Prg!$O$2,VLOOKUP(Table1[[#This Row],[sheet]],Prg!$A$7:$F$31,6,FALSE)=Prg!$O$3),"Yes","No")</f>
        <v>Yes</v>
      </c>
      <c r="AB1174">
        <v>2024</v>
      </c>
      <c r="AC1174">
        <v>17</v>
      </c>
      <c r="AD1174">
        <f ca="1">IF(ISERROR(VLOOKUP(Table1[[#This Row],[item]],INDIRECT("'"&amp;Table1[[#This Row],[sheet]]&amp;"'!$A$8:$T$42"),Table1[[#This Row],[r]],FALSE)),"",VLOOKUP(Table1[[#This Row],[item]],INDIRECT("'"&amp;Table1[[#This Row],[sheet]]&amp;"'!$A$8:$T$42"),Table1[[#This Row],[r]],FALSE))</f>
        <v>0</v>
      </c>
      <c r="AE1174">
        <f>IF(VLOOKUP(Table1[[#This Row],[sheet]],Prg!$A$7:$J$31,10,FALSE)="","",VLOOKUP(Table1[[#This Row],[sheet]],Prg!$A$7:$J$31,10,FALSE)*1)</f>
        <v>1</v>
      </c>
      <c r="AF1174" t="str">
        <f>VLOOKUP(Table1[[#This Row],[sheet]],Prg!$A$7:$J$31,5,FALSE)</f>
        <v>CONGO (DEMOCRATIC REP.)</v>
      </c>
      <c r="AG1174">
        <f>ROW()</f>
        <v>1174</v>
      </c>
    </row>
    <row r="1175" spans="24:33" hidden="1" x14ac:dyDescent="0.25">
      <c r="X1175">
        <v>7</v>
      </c>
      <c r="Y1175" t="s">
        <v>783</v>
      </c>
      <c r="Z1175" t="s">
        <v>784</v>
      </c>
      <c r="AA1175" t="str">
        <f>IF(OR(VLOOKUP(Table1[[#This Row],[sheet]],Prg!$A$7:$F$31,6,FALSE)=Prg!$O$2,VLOOKUP(Table1[[#This Row],[sheet]],Prg!$A$7:$F$31,6,FALSE)=Prg!$O$3),"Yes","No")</f>
        <v>Yes</v>
      </c>
      <c r="AB1175">
        <v>2024</v>
      </c>
      <c r="AC1175">
        <v>17</v>
      </c>
      <c r="AD1175">
        <f ca="1">IF(ISERROR(VLOOKUP(Table1[[#This Row],[item]],INDIRECT("'"&amp;Table1[[#This Row],[sheet]]&amp;"'!$A$8:$T$42"),Table1[[#This Row],[r]],FALSE)),"",VLOOKUP(Table1[[#This Row],[item]],INDIRECT("'"&amp;Table1[[#This Row],[sheet]]&amp;"'!$A$8:$T$42"),Table1[[#This Row],[r]],FALSE))</f>
        <v>22142.35</v>
      </c>
      <c r="AE1175">
        <f>IF(VLOOKUP(Table1[[#This Row],[sheet]],Prg!$A$7:$J$31,10,FALSE)="","",VLOOKUP(Table1[[#This Row],[sheet]],Prg!$A$7:$J$31,10,FALSE)*1)</f>
        <v>1</v>
      </c>
      <c r="AF1175" t="str">
        <f>VLOOKUP(Table1[[#This Row],[sheet]],Prg!$A$7:$J$31,5,FALSE)</f>
        <v>CONGO (DEMOCRATIC REP.)</v>
      </c>
      <c r="AG1175">
        <f>ROW()</f>
        <v>1175</v>
      </c>
    </row>
    <row r="1176" spans="24:33" hidden="1" x14ac:dyDescent="0.25">
      <c r="X1176">
        <v>7</v>
      </c>
      <c r="Y1176" t="s">
        <v>785</v>
      </c>
      <c r="Z1176" t="s">
        <v>786</v>
      </c>
      <c r="AA1176" t="str">
        <f>IF(OR(VLOOKUP(Table1[[#This Row],[sheet]],Prg!$A$7:$F$31,6,FALSE)=Prg!$O$2,VLOOKUP(Table1[[#This Row],[sheet]],Prg!$A$7:$F$31,6,FALSE)=Prg!$O$3),"Yes","No")</f>
        <v>Yes</v>
      </c>
      <c r="AB1176">
        <v>2024</v>
      </c>
      <c r="AC1176">
        <v>17</v>
      </c>
      <c r="AD1176">
        <f ca="1">IF(ISERROR(VLOOKUP(Table1[[#This Row],[item]],INDIRECT("'"&amp;Table1[[#This Row],[sheet]]&amp;"'!$A$8:$T$42"),Table1[[#This Row],[r]],FALSE)),"",VLOOKUP(Table1[[#This Row],[item]],INDIRECT("'"&amp;Table1[[#This Row],[sheet]]&amp;"'!$A$8:$T$42"),Table1[[#This Row],[r]],FALSE))</f>
        <v>164580.09</v>
      </c>
      <c r="AE1176">
        <f>IF(VLOOKUP(Table1[[#This Row],[sheet]],Prg!$A$7:$J$31,10,FALSE)="","",VLOOKUP(Table1[[#This Row],[sheet]],Prg!$A$7:$J$31,10,FALSE)*1)</f>
        <v>1</v>
      </c>
      <c r="AF1176" t="str">
        <f>VLOOKUP(Table1[[#This Row],[sheet]],Prg!$A$7:$J$31,5,FALSE)</f>
        <v>CONGO (DEMOCRATIC REP.)</v>
      </c>
      <c r="AG1176">
        <f>ROW()</f>
        <v>1176</v>
      </c>
    </row>
    <row r="1177" spans="24:33" hidden="1" x14ac:dyDescent="0.25">
      <c r="X1177">
        <v>7</v>
      </c>
      <c r="Y1177" t="s">
        <v>787</v>
      </c>
      <c r="Z1177" t="s">
        <v>633</v>
      </c>
      <c r="AA1177" t="str">
        <f>IF(OR(VLOOKUP(Table1[[#This Row],[sheet]],Prg!$A$7:$F$31,6,FALSE)=Prg!$O$2,VLOOKUP(Table1[[#This Row],[sheet]],Prg!$A$7:$F$31,6,FALSE)=Prg!$O$3),"Yes","No")</f>
        <v>Yes</v>
      </c>
      <c r="AB1177">
        <v>2024</v>
      </c>
      <c r="AC1177">
        <v>17</v>
      </c>
      <c r="AD1177">
        <f ca="1">IF(ISERROR(VLOOKUP(Table1[[#This Row],[item]],INDIRECT("'"&amp;Table1[[#This Row],[sheet]]&amp;"'!$A$8:$T$42"),Table1[[#This Row],[r]],FALSE)),"",VLOOKUP(Table1[[#This Row],[item]],INDIRECT("'"&amp;Table1[[#This Row],[sheet]]&amp;"'!$A$8:$T$42"),Table1[[#This Row],[r]],FALSE))</f>
        <v>0</v>
      </c>
      <c r="AE1177">
        <f>IF(VLOOKUP(Table1[[#This Row],[sheet]],Prg!$A$7:$J$31,10,FALSE)="","",VLOOKUP(Table1[[#This Row],[sheet]],Prg!$A$7:$J$31,10,FALSE)*1)</f>
        <v>1</v>
      </c>
      <c r="AF1177" t="str">
        <f>VLOOKUP(Table1[[#This Row],[sheet]],Prg!$A$7:$J$31,5,FALSE)</f>
        <v>CONGO (DEMOCRATIC REP.)</v>
      </c>
      <c r="AG1177">
        <f>ROW()</f>
        <v>1177</v>
      </c>
    </row>
    <row r="1178" spans="24:33" hidden="1" x14ac:dyDescent="0.25">
      <c r="X1178">
        <v>7</v>
      </c>
      <c r="Y1178" t="s">
        <v>753</v>
      </c>
      <c r="Z1178" t="s">
        <v>162</v>
      </c>
      <c r="AA1178" t="str">
        <f>IF(OR(VLOOKUP(Table1[[#This Row],[sheet]],Prg!$A$7:$F$31,6,FALSE)=Prg!$O$2,VLOOKUP(Table1[[#This Row],[sheet]],Prg!$A$7:$F$31,6,FALSE)=Prg!$O$3),"Yes","No")</f>
        <v>Yes</v>
      </c>
      <c r="AB1178">
        <v>2025</v>
      </c>
      <c r="AC1178">
        <v>18</v>
      </c>
      <c r="AD1178">
        <f ca="1">IF(ISERROR(VLOOKUP(Table1[[#This Row],[item]],INDIRECT("'"&amp;Table1[[#This Row],[sheet]]&amp;"'!$A$8:$T$42"),Table1[[#This Row],[r]],FALSE)),"",VLOOKUP(Table1[[#This Row],[item]],INDIRECT("'"&amp;Table1[[#This Row],[sheet]]&amp;"'!$A$8:$T$42"),Table1[[#This Row],[r]],FALSE))</f>
        <v>319395.81272727274</v>
      </c>
      <c r="AE1178">
        <f>IF(VLOOKUP(Table1[[#This Row],[sheet]],Prg!$A$7:$J$31,10,FALSE)="","",VLOOKUP(Table1[[#This Row],[sheet]],Prg!$A$7:$J$31,10,FALSE)*1)</f>
        <v>1</v>
      </c>
      <c r="AF1178" t="str">
        <f>VLOOKUP(Table1[[#This Row],[sheet]],Prg!$A$7:$J$31,5,FALSE)</f>
        <v>CONGO (DEMOCRATIC REP.)</v>
      </c>
      <c r="AG1178">
        <f>ROW()</f>
        <v>1178</v>
      </c>
    </row>
    <row r="1179" spans="24:33" hidden="1" x14ac:dyDescent="0.25">
      <c r="X1179">
        <v>7</v>
      </c>
      <c r="Y1179" t="s">
        <v>754</v>
      </c>
      <c r="Z1179" t="s">
        <v>164</v>
      </c>
      <c r="AA1179" t="str">
        <f>IF(OR(VLOOKUP(Table1[[#This Row],[sheet]],Prg!$A$7:$F$31,6,FALSE)=Prg!$O$2,VLOOKUP(Table1[[#This Row],[sheet]],Prg!$A$7:$F$31,6,FALSE)=Prg!$O$3),"Yes","No")</f>
        <v>Yes</v>
      </c>
      <c r="AB1179">
        <v>2025</v>
      </c>
      <c r="AC1179">
        <v>18</v>
      </c>
      <c r="AD1179">
        <f ca="1">IF(ISERROR(VLOOKUP(Table1[[#This Row],[item]],INDIRECT("'"&amp;Table1[[#This Row],[sheet]]&amp;"'!$A$8:$T$42"),Table1[[#This Row],[r]],FALSE)),"",VLOOKUP(Table1[[#This Row],[item]],INDIRECT("'"&amp;Table1[[#This Row],[sheet]]&amp;"'!$A$8:$T$42"),Table1[[#This Row],[r]],FALSE))</f>
        <v>7280</v>
      </c>
      <c r="AE1179">
        <f>IF(VLOOKUP(Table1[[#This Row],[sheet]],Prg!$A$7:$J$31,10,FALSE)="","",VLOOKUP(Table1[[#This Row],[sheet]],Prg!$A$7:$J$31,10,FALSE)*1)</f>
        <v>1</v>
      </c>
      <c r="AF1179" t="str">
        <f>VLOOKUP(Table1[[#This Row],[sheet]],Prg!$A$7:$J$31,5,FALSE)</f>
        <v>CONGO (DEMOCRATIC REP.)</v>
      </c>
      <c r="AG1179">
        <f>ROW()</f>
        <v>1179</v>
      </c>
    </row>
    <row r="1180" spans="24:33" hidden="1" x14ac:dyDescent="0.25">
      <c r="X1180">
        <v>7</v>
      </c>
      <c r="Y1180" t="s">
        <v>755</v>
      </c>
      <c r="Z1180" t="s">
        <v>166</v>
      </c>
      <c r="AA1180" t="str">
        <f>IF(OR(VLOOKUP(Table1[[#This Row],[sheet]],Prg!$A$7:$F$31,6,FALSE)=Prg!$O$2,VLOOKUP(Table1[[#This Row],[sheet]],Prg!$A$7:$F$31,6,FALSE)=Prg!$O$3),"Yes","No")</f>
        <v>Yes</v>
      </c>
      <c r="AB1180">
        <v>2025</v>
      </c>
      <c r="AC1180">
        <v>18</v>
      </c>
      <c r="AD1180">
        <f ca="1">IF(ISERROR(VLOOKUP(Table1[[#This Row],[item]],INDIRECT("'"&amp;Table1[[#This Row],[sheet]]&amp;"'!$A$8:$T$42"),Table1[[#This Row],[r]],FALSE)),"",VLOOKUP(Table1[[#This Row],[item]],INDIRECT("'"&amp;Table1[[#This Row],[sheet]]&amp;"'!$A$8:$T$42"),Table1[[#This Row],[r]],FALSE))</f>
        <v>243829.81272727274</v>
      </c>
      <c r="AE1180">
        <f>IF(VLOOKUP(Table1[[#This Row],[sheet]],Prg!$A$7:$J$31,10,FALSE)="","",VLOOKUP(Table1[[#This Row],[sheet]],Prg!$A$7:$J$31,10,FALSE)*1)</f>
        <v>1</v>
      </c>
      <c r="AF1180" t="str">
        <f>VLOOKUP(Table1[[#This Row],[sheet]],Prg!$A$7:$J$31,5,FALSE)</f>
        <v>CONGO (DEMOCRATIC REP.)</v>
      </c>
      <c r="AG1180">
        <f>ROW()</f>
        <v>1180</v>
      </c>
    </row>
    <row r="1181" spans="24:33" hidden="1" x14ac:dyDescent="0.25">
      <c r="X1181">
        <v>7</v>
      </c>
      <c r="Y1181" t="s">
        <v>756</v>
      </c>
      <c r="Z1181" t="s">
        <v>757</v>
      </c>
      <c r="AA1181" t="str">
        <f>IF(OR(VLOOKUP(Table1[[#This Row],[sheet]],Prg!$A$7:$F$31,6,FALSE)=Prg!$O$2,VLOOKUP(Table1[[#This Row],[sheet]],Prg!$A$7:$F$31,6,FALSE)=Prg!$O$3),"Yes","No")</f>
        <v>Yes</v>
      </c>
      <c r="AB1181">
        <v>2025</v>
      </c>
      <c r="AC1181">
        <v>18</v>
      </c>
      <c r="AD1181">
        <f ca="1">IF(ISERROR(VLOOKUP(Table1[[#This Row],[item]],INDIRECT("'"&amp;Table1[[#This Row],[sheet]]&amp;"'!$A$8:$T$42"),Table1[[#This Row],[r]],FALSE)),"",VLOOKUP(Table1[[#This Row],[item]],INDIRECT("'"&amp;Table1[[#This Row],[sheet]]&amp;"'!$A$8:$T$42"),Table1[[#This Row],[r]],FALSE))</f>
        <v>68286</v>
      </c>
      <c r="AE1181">
        <f>IF(VLOOKUP(Table1[[#This Row],[sheet]],Prg!$A$7:$J$31,10,FALSE)="","",VLOOKUP(Table1[[#This Row],[sheet]],Prg!$A$7:$J$31,10,FALSE)*1)</f>
        <v>1</v>
      </c>
      <c r="AF1181" t="str">
        <f>VLOOKUP(Table1[[#This Row],[sheet]],Prg!$A$7:$J$31,5,FALSE)</f>
        <v>CONGO (DEMOCRATIC REP.)</v>
      </c>
      <c r="AG1181">
        <f>ROW()</f>
        <v>1181</v>
      </c>
    </row>
    <row r="1182" spans="24:33" hidden="1" x14ac:dyDescent="0.25">
      <c r="X1182">
        <v>7</v>
      </c>
      <c r="Y1182" t="s">
        <v>758</v>
      </c>
      <c r="Z1182" t="s">
        <v>170</v>
      </c>
      <c r="AA1182" t="str">
        <f>IF(OR(VLOOKUP(Table1[[#This Row],[sheet]],Prg!$A$7:$F$31,6,FALSE)=Prg!$O$2,VLOOKUP(Table1[[#This Row],[sheet]],Prg!$A$7:$F$31,6,FALSE)=Prg!$O$3),"Yes","No")</f>
        <v>Yes</v>
      </c>
      <c r="AB1182">
        <v>2025</v>
      </c>
      <c r="AC1182">
        <v>18</v>
      </c>
      <c r="AD1182">
        <f ca="1">IF(ISERROR(VLOOKUP(Table1[[#This Row],[item]],INDIRECT("'"&amp;Table1[[#This Row],[sheet]]&amp;"'!$A$8:$T$42"),Table1[[#This Row],[r]],FALSE)),"",VLOOKUP(Table1[[#This Row],[item]],INDIRECT("'"&amp;Table1[[#This Row],[sheet]]&amp;"'!$A$8:$T$42"),Table1[[#This Row],[r]],FALSE))</f>
        <v>9017.18</v>
      </c>
      <c r="AE1182">
        <f>IF(VLOOKUP(Table1[[#This Row],[sheet]],Prg!$A$7:$J$31,10,FALSE)="","",VLOOKUP(Table1[[#This Row],[sheet]],Prg!$A$7:$J$31,10,FALSE)*1)</f>
        <v>1</v>
      </c>
      <c r="AF1182" t="str">
        <f>VLOOKUP(Table1[[#This Row],[sheet]],Prg!$A$7:$J$31,5,FALSE)</f>
        <v>CONGO (DEMOCRATIC REP.)</v>
      </c>
      <c r="AG1182">
        <f>ROW()</f>
        <v>1182</v>
      </c>
    </row>
    <row r="1183" spans="24:33" hidden="1" x14ac:dyDescent="0.25">
      <c r="X1183">
        <v>7</v>
      </c>
      <c r="Y1183" t="s">
        <v>759</v>
      </c>
      <c r="Z1183" t="s">
        <v>172</v>
      </c>
      <c r="AA1183" t="str">
        <f>IF(OR(VLOOKUP(Table1[[#This Row],[sheet]],Prg!$A$7:$F$31,6,FALSE)=Prg!$O$2,VLOOKUP(Table1[[#This Row],[sheet]],Prg!$A$7:$F$31,6,FALSE)=Prg!$O$3),"Yes","No")</f>
        <v>Yes</v>
      </c>
      <c r="AB1183">
        <v>2025</v>
      </c>
      <c r="AC1183">
        <v>18</v>
      </c>
      <c r="AD1183">
        <f ca="1">IF(ISERROR(VLOOKUP(Table1[[#This Row],[item]],INDIRECT("'"&amp;Table1[[#This Row],[sheet]]&amp;"'!$A$8:$T$42"),Table1[[#This Row],[r]],FALSE)),"",VLOOKUP(Table1[[#This Row],[item]],INDIRECT("'"&amp;Table1[[#This Row],[sheet]]&amp;"'!$A$8:$T$42"),Table1[[#This Row],[r]],FALSE))</f>
        <v>0</v>
      </c>
      <c r="AE1183">
        <f>IF(VLOOKUP(Table1[[#This Row],[sheet]],Prg!$A$7:$J$31,10,FALSE)="","",VLOOKUP(Table1[[#This Row],[sheet]],Prg!$A$7:$J$31,10,FALSE)*1)</f>
        <v>1</v>
      </c>
      <c r="AF1183" t="str">
        <f>VLOOKUP(Table1[[#This Row],[sheet]],Prg!$A$7:$J$31,5,FALSE)</f>
        <v>CONGO (DEMOCRATIC REP.)</v>
      </c>
      <c r="AG1183">
        <f>ROW()</f>
        <v>1183</v>
      </c>
    </row>
    <row r="1184" spans="24:33" hidden="1" x14ac:dyDescent="0.25">
      <c r="X1184">
        <v>7</v>
      </c>
      <c r="Y1184" t="s">
        <v>760</v>
      </c>
      <c r="Z1184" t="s">
        <v>174</v>
      </c>
      <c r="AA1184" t="str">
        <f>IF(OR(VLOOKUP(Table1[[#This Row],[sheet]],Prg!$A$7:$F$31,6,FALSE)=Prg!$O$2,VLOOKUP(Table1[[#This Row],[sheet]],Prg!$A$7:$F$31,6,FALSE)=Prg!$O$3),"Yes","No")</f>
        <v>Yes</v>
      </c>
      <c r="AB1184">
        <v>2025</v>
      </c>
      <c r="AC1184">
        <v>18</v>
      </c>
      <c r="AD1184">
        <f ca="1">IF(ISERROR(VLOOKUP(Table1[[#This Row],[item]],INDIRECT("'"&amp;Table1[[#This Row],[sheet]]&amp;"'!$A$8:$T$42"),Table1[[#This Row],[r]],FALSE)),"",VLOOKUP(Table1[[#This Row],[item]],INDIRECT("'"&amp;Table1[[#This Row],[sheet]]&amp;"'!$A$8:$T$42"),Table1[[#This Row],[r]],FALSE))</f>
        <v>6767.18</v>
      </c>
      <c r="AE1184">
        <f>IF(VLOOKUP(Table1[[#This Row],[sheet]],Prg!$A$7:$J$31,10,FALSE)="","",VLOOKUP(Table1[[#This Row],[sheet]],Prg!$A$7:$J$31,10,FALSE)*1)</f>
        <v>1</v>
      </c>
      <c r="AF1184" t="str">
        <f>VLOOKUP(Table1[[#This Row],[sheet]],Prg!$A$7:$J$31,5,FALSE)</f>
        <v>CONGO (DEMOCRATIC REP.)</v>
      </c>
      <c r="AG1184">
        <f>ROW()</f>
        <v>1184</v>
      </c>
    </row>
    <row r="1185" spans="24:33" hidden="1" x14ac:dyDescent="0.25">
      <c r="X1185">
        <v>7</v>
      </c>
      <c r="Y1185" t="s">
        <v>761</v>
      </c>
      <c r="Z1185" t="s">
        <v>762</v>
      </c>
      <c r="AA1185" t="str">
        <f>IF(OR(VLOOKUP(Table1[[#This Row],[sheet]],Prg!$A$7:$F$31,6,FALSE)=Prg!$O$2,VLOOKUP(Table1[[#This Row],[sheet]],Prg!$A$7:$F$31,6,FALSE)=Prg!$O$3),"Yes","No")</f>
        <v>Yes</v>
      </c>
      <c r="AB1185">
        <v>2025</v>
      </c>
      <c r="AC1185">
        <v>18</v>
      </c>
      <c r="AD1185">
        <f ca="1">IF(ISERROR(VLOOKUP(Table1[[#This Row],[item]],INDIRECT("'"&amp;Table1[[#This Row],[sheet]]&amp;"'!$A$8:$T$42"),Table1[[#This Row],[r]],FALSE)),"",VLOOKUP(Table1[[#This Row],[item]],INDIRECT("'"&amp;Table1[[#This Row],[sheet]]&amp;"'!$A$8:$T$42"),Table1[[#This Row],[r]],FALSE))</f>
        <v>2250</v>
      </c>
      <c r="AE1185">
        <f>IF(VLOOKUP(Table1[[#This Row],[sheet]],Prg!$A$7:$J$31,10,FALSE)="","",VLOOKUP(Table1[[#This Row],[sheet]],Prg!$A$7:$J$31,10,FALSE)*1)</f>
        <v>1</v>
      </c>
      <c r="AF1185" t="str">
        <f>VLOOKUP(Table1[[#This Row],[sheet]],Prg!$A$7:$J$31,5,FALSE)</f>
        <v>CONGO (DEMOCRATIC REP.)</v>
      </c>
      <c r="AG1185">
        <f>ROW()</f>
        <v>1185</v>
      </c>
    </row>
    <row r="1186" spans="24:33" hidden="1" x14ac:dyDescent="0.25">
      <c r="X1186">
        <v>7</v>
      </c>
      <c r="Y1186" t="s">
        <v>763</v>
      </c>
      <c r="Z1186" t="s">
        <v>178</v>
      </c>
      <c r="AA1186" t="str">
        <f>IF(OR(VLOOKUP(Table1[[#This Row],[sheet]],Prg!$A$7:$F$31,6,FALSE)=Prg!$O$2,VLOOKUP(Table1[[#This Row],[sheet]],Prg!$A$7:$F$31,6,FALSE)=Prg!$O$3),"Yes","No")</f>
        <v>Yes</v>
      </c>
      <c r="AB1186">
        <v>2025</v>
      </c>
      <c r="AC1186">
        <v>18</v>
      </c>
      <c r="AD1186">
        <f ca="1">IF(ISERROR(VLOOKUP(Table1[[#This Row],[item]],INDIRECT("'"&amp;Table1[[#This Row],[sheet]]&amp;"'!$A$8:$T$42"),Table1[[#This Row],[r]],FALSE)),"",VLOOKUP(Table1[[#This Row],[item]],INDIRECT("'"&amp;Table1[[#This Row],[sheet]]&amp;"'!$A$8:$T$42"),Table1[[#This Row],[r]],FALSE))</f>
        <v>154360</v>
      </c>
      <c r="AE1186">
        <f>IF(VLOOKUP(Table1[[#This Row],[sheet]],Prg!$A$7:$J$31,10,FALSE)="","",VLOOKUP(Table1[[#This Row],[sheet]],Prg!$A$7:$J$31,10,FALSE)*1)</f>
        <v>1</v>
      </c>
      <c r="AF1186" t="str">
        <f>VLOOKUP(Table1[[#This Row],[sheet]],Prg!$A$7:$J$31,5,FALSE)</f>
        <v>CONGO (DEMOCRATIC REP.)</v>
      </c>
      <c r="AG1186">
        <f>ROW()</f>
        <v>1186</v>
      </c>
    </row>
    <row r="1187" spans="24:33" hidden="1" x14ac:dyDescent="0.25">
      <c r="X1187">
        <v>7</v>
      </c>
      <c r="Y1187" t="s">
        <v>764</v>
      </c>
      <c r="Z1187" t="s">
        <v>109</v>
      </c>
      <c r="AA1187" t="str">
        <f>IF(OR(VLOOKUP(Table1[[#This Row],[sheet]],Prg!$A$7:$F$31,6,FALSE)=Prg!$O$2,VLOOKUP(Table1[[#This Row],[sheet]],Prg!$A$7:$F$31,6,FALSE)=Prg!$O$3),"Yes","No")</f>
        <v>Yes</v>
      </c>
      <c r="AB1187">
        <v>2025</v>
      </c>
      <c r="AC1187">
        <v>18</v>
      </c>
      <c r="AD1187">
        <f ca="1">IF(ISERROR(VLOOKUP(Table1[[#This Row],[item]],INDIRECT("'"&amp;Table1[[#This Row],[sheet]]&amp;"'!$A$8:$T$42"),Table1[[#This Row],[r]],FALSE)),"",VLOOKUP(Table1[[#This Row],[item]],INDIRECT("'"&amp;Table1[[#This Row],[sheet]]&amp;"'!$A$8:$T$42"),Table1[[#This Row],[r]],FALSE))</f>
        <v>0</v>
      </c>
      <c r="AE1187">
        <f>IF(VLOOKUP(Table1[[#This Row],[sheet]],Prg!$A$7:$J$31,10,FALSE)="","",VLOOKUP(Table1[[#This Row],[sheet]],Prg!$A$7:$J$31,10,FALSE)*1)</f>
        <v>1</v>
      </c>
      <c r="AF1187" t="str">
        <f>VLOOKUP(Table1[[#This Row],[sheet]],Prg!$A$7:$J$31,5,FALSE)</f>
        <v>CONGO (DEMOCRATIC REP.)</v>
      </c>
      <c r="AG1187">
        <f>ROW()</f>
        <v>1187</v>
      </c>
    </row>
    <row r="1188" spans="24:33" hidden="1" x14ac:dyDescent="0.25">
      <c r="X1188">
        <v>7</v>
      </c>
      <c r="Y1188" t="s">
        <v>765</v>
      </c>
      <c r="Z1188" t="s">
        <v>117</v>
      </c>
      <c r="AA1188" t="str">
        <f>IF(OR(VLOOKUP(Table1[[#This Row],[sheet]],Prg!$A$7:$F$31,6,FALSE)=Prg!$O$2,VLOOKUP(Table1[[#This Row],[sheet]],Prg!$A$7:$F$31,6,FALSE)=Prg!$O$3),"Yes","No")</f>
        <v>Yes</v>
      </c>
      <c r="AB1188">
        <v>2025</v>
      </c>
      <c r="AC1188">
        <v>18</v>
      </c>
      <c r="AD1188">
        <f ca="1">IF(ISERROR(VLOOKUP(Table1[[#This Row],[item]],INDIRECT("'"&amp;Table1[[#This Row],[sheet]]&amp;"'!$A$8:$T$42"),Table1[[#This Row],[r]],FALSE)),"",VLOOKUP(Table1[[#This Row],[item]],INDIRECT("'"&amp;Table1[[#This Row],[sheet]]&amp;"'!$A$8:$T$42"),Table1[[#This Row],[r]],FALSE))</f>
        <v>38173.56</v>
      </c>
      <c r="AE1188">
        <f>IF(VLOOKUP(Table1[[#This Row],[sheet]],Prg!$A$7:$J$31,10,FALSE)="","",VLOOKUP(Table1[[#This Row],[sheet]],Prg!$A$7:$J$31,10,FALSE)*1)</f>
        <v>1</v>
      </c>
      <c r="AF1188" t="str">
        <f>VLOOKUP(Table1[[#This Row],[sheet]],Prg!$A$7:$J$31,5,FALSE)</f>
        <v>CONGO (DEMOCRATIC REP.)</v>
      </c>
      <c r="AG1188">
        <f>ROW()</f>
        <v>1188</v>
      </c>
    </row>
    <row r="1189" spans="24:33" hidden="1" x14ac:dyDescent="0.25">
      <c r="X1189">
        <v>7</v>
      </c>
      <c r="Y1189" t="s">
        <v>766</v>
      </c>
      <c r="Z1189" t="s">
        <v>767</v>
      </c>
      <c r="AA1189" t="str">
        <f>IF(OR(VLOOKUP(Table1[[#This Row],[sheet]],Prg!$A$7:$F$31,6,FALSE)=Prg!$O$2,VLOOKUP(Table1[[#This Row],[sheet]],Prg!$A$7:$F$31,6,FALSE)=Prg!$O$3),"Yes","No")</f>
        <v>Yes</v>
      </c>
      <c r="AB1189">
        <v>2025</v>
      </c>
      <c r="AC1189">
        <v>18</v>
      </c>
      <c r="AD1189">
        <f ca="1">IF(ISERROR(VLOOKUP(Table1[[#This Row],[item]],INDIRECT("'"&amp;Table1[[#This Row],[sheet]]&amp;"'!$A$8:$T$42"),Table1[[#This Row],[r]],FALSE)),"",VLOOKUP(Table1[[#This Row],[item]],INDIRECT("'"&amp;Table1[[#This Row],[sheet]]&amp;"'!$A$8:$T$42"),Table1[[#This Row],[r]],FALSE))</f>
        <v>116186.44</v>
      </c>
      <c r="AE1189">
        <f>IF(VLOOKUP(Table1[[#This Row],[sheet]],Prg!$A$7:$J$31,10,FALSE)="","",VLOOKUP(Table1[[#This Row],[sheet]],Prg!$A$7:$J$31,10,FALSE)*1)</f>
        <v>1</v>
      </c>
      <c r="AF1189" t="str">
        <f>VLOOKUP(Table1[[#This Row],[sheet]],Prg!$A$7:$J$31,5,FALSE)</f>
        <v>CONGO (DEMOCRATIC REP.)</v>
      </c>
      <c r="AG1189">
        <f>ROW()</f>
        <v>1189</v>
      </c>
    </row>
    <row r="1190" spans="24:33" hidden="1" x14ac:dyDescent="0.25">
      <c r="X1190">
        <v>7</v>
      </c>
      <c r="Y1190" t="s">
        <v>768</v>
      </c>
      <c r="Z1190" t="s">
        <v>182</v>
      </c>
      <c r="AA1190" t="str">
        <f>IF(OR(VLOOKUP(Table1[[#This Row],[sheet]],Prg!$A$7:$F$31,6,FALSE)=Prg!$O$2,VLOOKUP(Table1[[#This Row],[sheet]],Prg!$A$7:$F$31,6,FALSE)=Prg!$O$3),"Yes","No")</f>
        <v>Yes</v>
      </c>
      <c r="AB1190">
        <v>2025</v>
      </c>
      <c r="AC1190">
        <v>18</v>
      </c>
      <c r="AD1190">
        <f ca="1">IF(ISERROR(VLOOKUP(Table1[[#This Row],[item]],INDIRECT("'"&amp;Table1[[#This Row],[sheet]]&amp;"'!$A$8:$T$42"),Table1[[#This Row],[r]],FALSE)),"",VLOOKUP(Table1[[#This Row],[item]],INDIRECT("'"&amp;Table1[[#This Row],[sheet]]&amp;"'!$A$8:$T$42"),Table1[[#This Row],[r]],FALSE))</f>
        <v>4000</v>
      </c>
      <c r="AE1190">
        <f>IF(VLOOKUP(Table1[[#This Row],[sheet]],Prg!$A$7:$J$31,10,FALSE)="","",VLOOKUP(Table1[[#This Row],[sheet]],Prg!$A$7:$J$31,10,FALSE)*1)</f>
        <v>1</v>
      </c>
      <c r="AF1190" t="str">
        <f>VLOOKUP(Table1[[#This Row],[sheet]],Prg!$A$7:$J$31,5,FALSE)</f>
        <v>CONGO (DEMOCRATIC REP.)</v>
      </c>
      <c r="AG1190">
        <f>ROW()</f>
        <v>1190</v>
      </c>
    </row>
    <row r="1191" spans="24:33" hidden="1" x14ac:dyDescent="0.25">
      <c r="X1191">
        <v>7</v>
      </c>
      <c r="Y1191" t="s">
        <v>769</v>
      </c>
      <c r="Z1191" t="s">
        <v>184</v>
      </c>
      <c r="AA1191" t="str">
        <f>IF(OR(VLOOKUP(Table1[[#This Row],[sheet]],Prg!$A$7:$F$31,6,FALSE)=Prg!$O$2,VLOOKUP(Table1[[#This Row],[sheet]],Prg!$A$7:$F$31,6,FALSE)=Prg!$O$3),"Yes","No")</f>
        <v>Yes</v>
      </c>
      <c r="AB1191">
        <v>2025</v>
      </c>
      <c r="AC1191">
        <v>18</v>
      </c>
      <c r="AD1191">
        <f ca="1">IF(ISERROR(VLOOKUP(Table1[[#This Row],[item]],INDIRECT("'"&amp;Table1[[#This Row],[sheet]]&amp;"'!$A$8:$T$42"),Table1[[#This Row],[r]],FALSE)),"",VLOOKUP(Table1[[#This Row],[item]],INDIRECT("'"&amp;Table1[[#This Row],[sheet]]&amp;"'!$A$8:$T$42"),Table1[[#This Row],[r]],FALSE))</f>
        <v>0</v>
      </c>
      <c r="AE1191">
        <f>IF(VLOOKUP(Table1[[#This Row],[sheet]],Prg!$A$7:$J$31,10,FALSE)="","",VLOOKUP(Table1[[#This Row],[sheet]],Prg!$A$7:$J$31,10,FALSE)*1)</f>
        <v>1</v>
      </c>
      <c r="AF1191" t="str">
        <f>VLOOKUP(Table1[[#This Row],[sheet]],Prg!$A$7:$J$31,5,FALSE)</f>
        <v>CONGO (DEMOCRATIC REP.)</v>
      </c>
      <c r="AG1191">
        <f>ROW()</f>
        <v>1191</v>
      </c>
    </row>
    <row r="1192" spans="24:33" hidden="1" x14ac:dyDescent="0.25">
      <c r="X1192">
        <v>7</v>
      </c>
      <c r="Y1192" t="s">
        <v>770</v>
      </c>
      <c r="Z1192" t="s">
        <v>186</v>
      </c>
      <c r="AA1192" t="str">
        <f>IF(OR(VLOOKUP(Table1[[#This Row],[sheet]],Prg!$A$7:$F$31,6,FALSE)=Prg!$O$2,VLOOKUP(Table1[[#This Row],[sheet]],Prg!$A$7:$F$31,6,FALSE)=Prg!$O$3),"Yes","No")</f>
        <v>Yes</v>
      </c>
      <c r="AB1192">
        <v>2025</v>
      </c>
      <c r="AC1192">
        <v>18</v>
      </c>
      <c r="AD1192">
        <f ca="1">IF(ISERROR(VLOOKUP(Table1[[#This Row],[item]],INDIRECT("'"&amp;Table1[[#This Row],[sheet]]&amp;"'!$A$8:$T$42"),Table1[[#This Row],[r]],FALSE)),"",VLOOKUP(Table1[[#This Row],[item]],INDIRECT("'"&amp;Table1[[#This Row],[sheet]]&amp;"'!$A$8:$T$42"),Table1[[#This Row],[r]],FALSE))</f>
        <v>4000</v>
      </c>
      <c r="AE1192">
        <f>IF(VLOOKUP(Table1[[#This Row],[sheet]],Prg!$A$7:$J$31,10,FALSE)="","",VLOOKUP(Table1[[#This Row],[sheet]],Prg!$A$7:$J$31,10,FALSE)*1)</f>
        <v>1</v>
      </c>
      <c r="AF1192" t="str">
        <f>VLOOKUP(Table1[[#This Row],[sheet]],Prg!$A$7:$J$31,5,FALSE)</f>
        <v>CONGO (DEMOCRATIC REP.)</v>
      </c>
      <c r="AG1192">
        <f>ROW()</f>
        <v>1192</v>
      </c>
    </row>
    <row r="1193" spans="24:33" hidden="1" x14ac:dyDescent="0.25">
      <c r="X1193">
        <v>7</v>
      </c>
      <c r="Y1193" t="s">
        <v>771</v>
      </c>
      <c r="Z1193" t="s">
        <v>772</v>
      </c>
      <c r="AA1193" t="str">
        <f>IF(OR(VLOOKUP(Table1[[#This Row],[sheet]],Prg!$A$7:$F$31,6,FALSE)=Prg!$O$2,VLOOKUP(Table1[[#This Row],[sheet]],Prg!$A$7:$F$31,6,FALSE)=Prg!$O$3),"Yes","No")</f>
        <v>Yes</v>
      </c>
      <c r="AB1193">
        <v>2025</v>
      </c>
      <c r="AC1193">
        <v>18</v>
      </c>
      <c r="AD1193">
        <f ca="1">IF(ISERROR(VLOOKUP(Table1[[#This Row],[item]],INDIRECT("'"&amp;Table1[[#This Row],[sheet]]&amp;"'!$A$8:$T$42"),Table1[[#This Row],[r]],FALSE)),"",VLOOKUP(Table1[[#This Row],[item]],INDIRECT("'"&amp;Table1[[#This Row],[sheet]]&amp;"'!$A$8:$T$42"),Table1[[#This Row],[r]],FALSE))</f>
        <v>0</v>
      </c>
      <c r="AE1193">
        <f>IF(VLOOKUP(Table1[[#This Row],[sheet]],Prg!$A$7:$J$31,10,FALSE)="","",VLOOKUP(Table1[[#This Row],[sheet]],Prg!$A$7:$J$31,10,FALSE)*1)</f>
        <v>1</v>
      </c>
      <c r="AF1193" t="str">
        <f>VLOOKUP(Table1[[#This Row],[sheet]],Prg!$A$7:$J$31,5,FALSE)</f>
        <v>CONGO (DEMOCRATIC REP.)</v>
      </c>
      <c r="AG1193">
        <f>ROW()</f>
        <v>1193</v>
      </c>
    </row>
    <row r="1194" spans="24:33" hidden="1" x14ac:dyDescent="0.25">
      <c r="X1194">
        <v>7</v>
      </c>
      <c r="Y1194" t="s">
        <v>773</v>
      </c>
      <c r="Z1194" t="s">
        <v>190</v>
      </c>
      <c r="AA1194" t="str">
        <f>IF(OR(VLOOKUP(Table1[[#This Row],[sheet]],Prg!$A$7:$F$31,6,FALSE)=Prg!$O$2,VLOOKUP(Table1[[#This Row],[sheet]],Prg!$A$7:$F$31,6,FALSE)=Prg!$O$3),"Yes","No")</f>
        <v>Yes</v>
      </c>
      <c r="AB1194">
        <v>2025</v>
      </c>
      <c r="AC1194">
        <v>18</v>
      </c>
      <c r="AD1194">
        <f ca="1">IF(ISERROR(VLOOKUP(Table1[[#This Row],[item]],INDIRECT("'"&amp;Table1[[#This Row],[sheet]]&amp;"'!$A$8:$T$42"),Table1[[#This Row],[r]],FALSE)),"",VLOOKUP(Table1[[#This Row],[item]],INDIRECT("'"&amp;Table1[[#This Row],[sheet]]&amp;"'!$A$8:$T$42"),Table1[[#This Row],[r]],FALSE))</f>
        <v>486772.99272727274</v>
      </c>
      <c r="AE1194">
        <f>IF(VLOOKUP(Table1[[#This Row],[sheet]],Prg!$A$7:$J$31,10,FALSE)="","",VLOOKUP(Table1[[#This Row],[sheet]],Prg!$A$7:$J$31,10,FALSE)*1)</f>
        <v>1</v>
      </c>
      <c r="AF1194" t="str">
        <f>VLOOKUP(Table1[[#This Row],[sheet]],Prg!$A$7:$J$31,5,FALSE)</f>
        <v>CONGO (DEMOCRATIC REP.)</v>
      </c>
      <c r="AG1194">
        <f>ROW()</f>
        <v>1194</v>
      </c>
    </row>
    <row r="1195" spans="24:33" hidden="1" x14ac:dyDescent="0.25">
      <c r="X1195">
        <v>7</v>
      </c>
      <c r="Y1195" t="s">
        <v>709</v>
      </c>
      <c r="Z1195" t="s">
        <v>192</v>
      </c>
      <c r="AA1195" t="str">
        <f>IF(OR(VLOOKUP(Table1[[#This Row],[sheet]],Prg!$A$7:$F$31,6,FALSE)=Prg!$O$2,VLOOKUP(Table1[[#This Row],[sheet]],Prg!$A$7:$F$31,6,FALSE)=Prg!$O$3),"Yes","No")</f>
        <v>Yes</v>
      </c>
      <c r="AB1195">
        <v>2025</v>
      </c>
      <c r="AC1195">
        <v>18</v>
      </c>
      <c r="AD1195">
        <f ca="1">IF(ISERROR(VLOOKUP(Table1[[#This Row],[item]],INDIRECT("'"&amp;Table1[[#This Row],[sheet]]&amp;"'!$A$8:$T$42"),Table1[[#This Row],[r]],FALSE)),"",VLOOKUP(Table1[[#This Row],[item]],INDIRECT("'"&amp;Table1[[#This Row],[sheet]]&amp;"'!$A$8:$T$42"),Table1[[#This Row],[r]],FALSE))</f>
        <v>7280</v>
      </c>
      <c r="AE1195">
        <f>IF(VLOOKUP(Table1[[#This Row],[sheet]],Prg!$A$7:$J$31,10,FALSE)="","",VLOOKUP(Table1[[#This Row],[sheet]],Prg!$A$7:$J$31,10,FALSE)*1)</f>
        <v>1</v>
      </c>
      <c r="AF1195" t="str">
        <f>VLOOKUP(Table1[[#This Row],[sheet]],Prg!$A$7:$J$31,5,FALSE)</f>
        <v>CONGO (DEMOCRATIC REP.)</v>
      </c>
      <c r="AG1195">
        <f>ROW()</f>
        <v>1195</v>
      </c>
    </row>
    <row r="1196" spans="24:33" hidden="1" x14ac:dyDescent="0.25">
      <c r="X1196">
        <v>7</v>
      </c>
      <c r="Y1196" t="s">
        <v>774</v>
      </c>
      <c r="Z1196" t="s">
        <v>194</v>
      </c>
      <c r="AA1196" t="str">
        <f>IF(OR(VLOOKUP(Table1[[#This Row],[sheet]],Prg!$A$7:$F$31,6,FALSE)=Prg!$O$2,VLOOKUP(Table1[[#This Row],[sheet]],Prg!$A$7:$F$31,6,FALSE)=Prg!$O$3),"Yes","No")</f>
        <v>Yes</v>
      </c>
      <c r="AB1196">
        <v>2025</v>
      </c>
      <c r="AC1196">
        <v>18</v>
      </c>
      <c r="AD1196">
        <f ca="1">IF(ISERROR(VLOOKUP(Table1[[#This Row],[item]],INDIRECT("'"&amp;Table1[[#This Row],[sheet]]&amp;"'!$A$8:$T$42"),Table1[[#This Row],[r]],FALSE)),"",VLOOKUP(Table1[[#This Row],[item]],INDIRECT("'"&amp;Table1[[#This Row],[sheet]]&amp;"'!$A$8:$T$42"),Table1[[#This Row],[r]],FALSE))</f>
        <v>0</v>
      </c>
      <c r="AE1196">
        <f>IF(VLOOKUP(Table1[[#This Row],[sheet]],Prg!$A$7:$J$31,10,FALSE)="","",VLOOKUP(Table1[[#This Row],[sheet]],Prg!$A$7:$J$31,10,FALSE)*1)</f>
        <v>1</v>
      </c>
      <c r="AF1196" t="str">
        <f>VLOOKUP(Table1[[#This Row],[sheet]],Prg!$A$7:$J$31,5,FALSE)</f>
        <v>CONGO (DEMOCRATIC REP.)</v>
      </c>
      <c r="AG1196">
        <f>ROW()</f>
        <v>1196</v>
      </c>
    </row>
    <row r="1197" spans="24:33" hidden="1" x14ac:dyDescent="0.25">
      <c r="X1197">
        <v>7</v>
      </c>
      <c r="Y1197" t="s">
        <v>775</v>
      </c>
      <c r="Z1197" t="s">
        <v>196</v>
      </c>
      <c r="AA1197" t="str">
        <f>IF(OR(VLOOKUP(Table1[[#This Row],[sheet]],Prg!$A$7:$F$31,6,FALSE)=Prg!$O$2,VLOOKUP(Table1[[#This Row],[sheet]],Prg!$A$7:$F$31,6,FALSE)=Prg!$O$3),"Yes","No")</f>
        <v>Yes</v>
      </c>
      <c r="AB1197">
        <v>2025</v>
      </c>
      <c r="AC1197">
        <v>18</v>
      </c>
      <c r="AD1197">
        <f ca="1">IF(ISERROR(VLOOKUP(Table1[[#This Row],[item]],INDIRECT("'"&amp;Table1[[#This Row],[sheet]]&amp;"'!$A$8:$T$42"),Table1[[#This Row],[r]],FALSE)),"",VLOOKUP(Table1[[#This Row],[item]],INDIRECT("'"&amp;Table1[[#This Row],[sheet]]&amp;"'!$A$8:$T$42"),Table1[[#This Row],[r]],FALSE))</f>
        <v>0</v>
      </c>
      <c r="AE1197">
        <f>IF(VLOOKUP(Table1[[#This Row],[sheet]],Prg!$A$7:$J$31,10,FALSE)="","",VLOOKUP(Table1[[#This Row],[sheet]],Prg!$A$7:$J$31,10,FALSE)*1)</f>
        <v>1</v>
      </c>
      <c r="AF1197" t="str">
        <f>VLOOKUP(Table1[[#This Row],[sheet]],Prg!$A$7:$J$31,5,FALSE)</f>
        <v>CONGO (DEMOCRATIC REP.)</v>
      </c>
      <c r="AG1197">
        <f>ROW()</f>
        <v>1197</v>
      </c>
    </row>
    <row r="1198" spans="24:33" hidden="1" x14ac:dyDescent="0.25">
      <c r="X1198">
        <v>7</v>
      </c>
      <c r="Y1198" t="s">
        <v>776</v>
      </c>
      <c r="Z1198" t="s">
        <v>605</v>
      </c>
      <c r="AA1198" t="str">
        <f>IF(OR(VLOOKUP(Table1[[#This Row],[sheet]],Prg!$A$7:$F$31,6,FALSE)=Prg!$O$2,VLOOKUP(Table1[[#This Row],[sheet]],Prg!$A$7:$F$31,6,FALSE)=Prg!$O$3),"Yes","No")</f>
        <v>Yes</v>
      </c>
      <c r="AB1198">
        <v>2025</v>
      </c>
      <c r="AC1198">
        <v>18</v>
      </c>
      <c r="AD1198">
        <f ca="1">IF(ISERROR(VLOOKUP(Table1[[#This Row],[item]],INDIRECT("'"&amp;Table1[[#This Row],[sheet]]&amp;"'!$A$8:$T$42"),Table1[[#This Row],[r]],FALSE)),"",VLOOKUP(Table1[[#This Row],[item]],INDIRECT("'"&amp;Table1[[#This Row],[sheet]]&amp;"'!$A$8:$T$42"),Table1[[#This Row],[r]],FALSE))</f>
        <v>7280</v>
      </c>
      <c r="AE1198">
        <f>IF(VLOOKUP(Table1[[#This Row],[sheet]],Prg!$A$7:$J$31,10,FALSE)="","",VLOOKUP(Table1[[#This Row],[sheet]],Prg!$A$7:$J$31,10,FALSE)*1)</f>
        <v>1</v>
      </c>
      <c r="AF1198" t="str">
        <f>VLOOKUP(Table1[[#This Row],[sheet]],Prg!$A$7:$J$31,5,FALSE)</f>
        <v>CONGO (DEMOCRATIC REP.)</v>
      </c>
      <c r="AG1198">
        <f>ROW()</f>
        <v>1198</v>
      </c>
    </row>
    <row r="1199" spans="24:33" hidden="1" x14ac:dyDescent="0.25">
      <c r="X1199">
        <v>7</v>
      </c>
      <c r="Y1199" t="s">
        <v>711</v>
      </c>
      <c r="Z1199" t="s">
        <v>200</v>
      </c>
      <c r="AA1199" t="str">
        <f>IF(OR(VLOOKUP(Table1[[#This Row],[sheet]],Prg!$A$7:$F$31,6,FALSE)=Prg!$O$2,VLOOKUP(Table1[[#This Row],[sheet]],Prg!$A$7:$F$31,6,FALSE)=Prg!$O$3),"Yes","No")</f>
        <v>Yes</v>
      </c>
      <c r="AB1199">
        <v>2025</v>
      </c>
      <c r="AC1199">
        <v>18</v>
      </c>
      <c r="AD1199">
        <f ca="1">IF(ISERROR(VLOOKUP(Table1[[#This Row],[item]],INDIRECT("'"&amp;Table1[[#This Row],[sheet]]&amp;"'!$A$8:$T$42"),Table1[[#This Row],[r]],FALSE)),"",VLOOKUP(Table1[[#This Row],[item]],INDIRECT("'"&amp;Table1[[#This Row],[sheet]]&amp;"'!$A$8:$T$42"),Table1[[#This Row],[r]],FALSE))</f>
        <v>292770.55272727273</v>
      </c>
      <c r="AE1199">
        <f>IF(VLOOKUP(Table1[[#This Row],[sheet]],Prg!$A$7:$J$31,10,FALSE)="","",VLOOKUP(Table1[[#This Row],[sheet]],Prg!$A$7:$J$31,10,FALSE)*1)</f>
        <v>1</v>
      </c>
      <c r="AF1199" t="str">
        <f>VLOOKUP(Table1[[#This Row],[sheet]],Prg!$A$7:$J$31,5,FALSE)</f>
        <v>CONGO (DEMOCRATIC REP.)</v>
      </c>
      <c r="AG1199">
        <f>ROW()</f>
        <v>1199</v>
      </c>
    </row>
    <row r="1200" spans="24:33" hidden="1" x14ac:dyDescent="0.25">
      <c r="X1200">
        <v>7</v>
      </c>
      <c r="Y1200" t="s">
        <v>777</v>
      </c>
      <c r="Z1200" t="s">
        <v>202</v>
      </c>
      <c r="AA1200" t="str">
        <f>IF(OR(VLOOKUP(Table1[[#This Row],[sheet]],Prg!$A$7:$F$31,6,FALSE)=Prg!$O$2,VLOOKUP(Table1[[#This Row],[sheet]],Prg!$A$7:$F$31,6,FALSE)=Prg!$O$3),"Yes","No")</f>
        <v>Yes</v>
      </c>
      <c r="AB1200">
        <v>2025</v>
      </c>
      <c r="AC1200">
        <v>18</v>
      </c>
      <c r="AD1200">
        <f ca="1">IF(ISERROR(VLOOKUP(Table1[[#This Row],[item]],INDIRECT("'"&amp;Table1[[#This Row],[sheet]]&amp;"'!$A$8:$T$42"),Table1[[#This Row],[r]],FALSE)),"",VLOOKUP(Table1[[#This Row],[item]],INDIRECT("'"&amp;Table1[[#This Row],[sheet]]&amp;"'!$A$8:$T$42"),Table1[[#This Row],[r]],FALSE))</f>
        <v>57700.4</v>
      </c>
      <c r="AE1200">
        <f>IF(VLOOKUP(Table1[[#This Row],[sheet]],Prg!$A$7:$J$31,10,FALSE)="","",VLOOKUP(Table1[[#This Row],[sheet]],Prg!$A$7:$J$31,10,FALSE)*1)</f>
        <v>1</v>
      </c>
      <c r="AF1200" t="str">
        <f>VLOOKUP(Table1[[#This Row],[sheet]],Prg!$A$7:$J$31,5,FALSE)</f>
        <v>CONGO (DEMOCRATIC REP.)</v>
      </c>
      <c r="AG1200">
        <f>ROW()</f>
        <v>1200</v>
      </c>
    </row>
    <row r="1201" spans="24:33" hidden="1" x14ac:dyDescent="0.25">
      <c r="X1201">
        <v>7</v>
      </c>
      <c r="Y1201" t="s">
        <v>778</v>
      </c>
      <c r="Z1201" t="s">
        <v>204</v>
      </c>
      <c r="AA1201" t="str">
        <f>IF(OR(VLOOKUP(Table1[[#This Row],[sheet]],Prg!$A$7:$F$31,6,FALSE)=Prg!$O$2,VLOOKUP(Table1[[#This Row],[sheet]],Prg!$A$7:$F$31,6,FALSE)=Prg!$O$3),"Yes","No")</f>
        <v>Yes</v>
      </c>
      <c r="AB1201">
        <v>2025</v>
      </c>
      <c r="AC1201">
        <v>18</v>
      </c>
      <c r="AD1201">
        <f ca="1">IF(ISERROR(VLOOKUP(Table1[[#This Row],[item]],INDIRECT("'"&amp;Table1[[#This Row],[sheet]]&amp;"'!$A$8:$T$42"),Table1[[#This Row],[r]],FALSE)),"",VLOOKUP(Table1[[#This Row],[item]],INDIRECT("'"&amp;Table1[[#This Row],[sheet]]&amp;"'!$A$8:$T$42"),Table1[[#This Row],[r]],FALSE))</f>
        <v>44190.832727272733</v>
      </c>
      <c r="AE1201">
        <f>IF(VLOOKUP(Table1[[#This Row],[sheet]],Prg!$A$7:$J$31,10,FALSE)="","",VLOOKUP(Table1[[#This Row],[sheet]],Prg!$A$7:$J$31,10,FALSE)*1)</f>
        <v>1</v>
      </c>
      <c r="AF1201" t="str">
        <f>VLOOKUP(Table1[[#This Row],[sheet]],Prg!$A$7:$J$31,5,FALSE)</f>
        <v>CONGO (DEMOCRATIC REP.)</v>
      </c>
      <c r="AG1201">
        <f>ROW()</f>
        <v>1201</v>
      </c>
    </row>
    <row r="1202" spans="24:33" hidden="1" x14ac:dyDescent="0.25">
      <c r="X1202">
        <v>7</v>
      </c>
      <c r="Y1202" t="s">
        <v>779</v>
      </c>
      <c r="Z1202" t="s">
        <v>605</v>
      </c>
      <c r="AA1202" t="str">
        <f>IF(OR(VLOOKUP(Table1[[#This Row],[sheet]],Prg!$A$7:$F$31,6,FALSE)=Prg!$O$2,VLOOKUP(Table1[[#This Row],[sheet]],Prg!$A$7:$F$31,6,FALSE)=Prg!$O$3),"Yes","No")</f>
        <v>Yes</v>
      </c>
      <c r="AB1202">
        <v>2025</v>
      </c>
      <c r="AC1202">
        <v>18</v>
      </c>
      <c r="AD1202">
        <f ca="1">IF(ISERROR(VLOOKUP(Table1[[#This Row],[item]],INDIRECT("'"&amp;Table1[[#This Row],[sheet]]&amp;"'!$A$8:$T$42"),Table1[[#This Row],[r]],FALSE)),"",VLOOKUP(Table1[[#This Row],[item]],INDIRECT("'"&amp;Table1[[#This Row],[sheet]]&amp;"'!$A$8:$T$42"),Table1[[#This Row],[r]],FALSE))</f>
        <v>190879.32</v>
      </c>
      <c r="AE1202">
        <f>IF(VLOOKUP(Table1[[#This Row],[sheet]],Prg!$A$7:$J$31,10,FALSE)="","",VLOOKUP(Table1[[#This Row],[sheet]],Prg!$A$7:$J$31,10,FALSE)*1)</f>
        <v>1</v>
      </c>
      <c r="AF1202" t="str">
        <f>VLOOKUP(Table1[[#This Row],[sheet]],Prg!$A$7:$J$31,5,FALSE)</f>
        <v>CONGO (DEMOCRATIC REP.)</v>
      </c>
      <c r="AG1202">
        <f>ROW()</f>
        <v>1202</v>
      </c>
    </row>
    <row r="1203" spans="24:33" hidden="1" x14ac:dyDescent="0.25">
      <c r="X1203">
        <v>7</v>
      </c>
      <c r="Y1203" t="s">
        <v>712</v>
      </c>
      <c r="Z1203" t="s">
        <v>780</v>
      </c>
      <c r="AA1203" t="str">
        <f>IF(OR(VLOOKUP(Table1[[#This Row],[sheet]],Prg!$A$7:$F$31,6,FALSE)=Prg!$O$2,VLOOKUP(Table1[[#This Row],[sheet]],Prg!$A$7:$F$31,6,FALSE)=Prg!$O$3),"Yes","No")</f>
        <v>Yes</v>
      </c>
      <c r="AB1203">
        <v>2025</v>
      </c>
      <c r="AC1203">
        <v>18</v>
      </c>
      <c r="AD1203">
        <f ca="1">IF(ISERROR(VLOOKUP(Table1[[#This Row],[item]],INDIRECT("'"&amp;Table1[[#This Row],[sheet]]&amp;"'!$A$8:$T$42"),Table1[[#This Row],[r]],FALSE)),"",VLOOKUP(Table1[[#This Row],[item]],INDIRECT("'"&amp;Table1[[#This Row],[sheet]]&amp;"'!$A$8:$T$42"),Table1[[#This Row],[r]],FALSE))</f>
        <v>186722.44</v>
      </c>
      <c r="AE1203">
        <f>IF(VLOOKUP(Table1[[#This Row],[sheet]],Prg!$A$7:$J$31,10,FALSE)="","",VLOOKUP(Table1[[#This Row],[sheet]],Prg!$A$7:$J$31,10,FALSE)*1)</f>
        <v>1</v>
      </c>
      <c r="AF1203" t="str">
        <f>VLOOKUP(Table1[[#This Row],[sheet]],Prg!$A$7:$J$31,5,FALSE)</f>
        <v>CONGO (DEMOCRATIC REP.)</v>
      </c>
      <c r="AG1203">
        <f>ROW()</f>
        <v>1203</v>
      </c>
    </row>
    <row r="1204" spans="24:33" hidden="1" x14ac:dyDescent="0.25">
      <c r="X1204">
        <v>7</v>
      </c>
      <c r="Y1204" t="s">
        <v>781</v>
      </c>
      <c r="Z1204" t="s">
        <v>782</v>
      </c>
      <c r="AA1204" t="str">
        <f>IF(OR(VLOOKUP(Table1[[#This Row],[sheet]],Prg!$A$7:$F$31,6,FALSE)=Prg!$O$2,VLOOKUP(Table1[[#This Row],[sheet]],Prg!$A$7:$F$31,6,FALSE)=Prg!$O$3),"Yes","No")</f>
        <v>Yes</v>
      </c>
      <c r="AB1204">
        <v>2025</v>
      </c>
      <c r="AC1204">
        <v>18</v>
      </c>
      <c r="AD1204">
        <f ca="1">IF(ISERROR(VLOOKUP(Table1[[#This Row],[item]],INDIRECT("'"&amp;Table1[[#This Row],[sheet]]&amp;"'!$A$8:$T$42"),Table1[[#This Row],[r]],FALSE)),"",VLOOKUP(Table1[[#This Row],[item]],INDIRECT("'"&amp;Table1[[#This Row],[sheet]]&amp;"'!$A$8:$T$42"),Table1[[#This Row],[r]],FALSE))</f>
        <v>0</v>
      </c>
      <c r="AE1204">
        <f>IF(VLOOKUP(Table1[[#This Row],[sheet]],Prg!$A$7:$J$31,10,FALSE)="","",VLOOKUP(Table1[[#This Row],[sheet]],Prg!$A$7:$J$31,10,FALSE)*1)</f>
        <v>1</v>
      </c>
      <c r="AF1204" t="str">
        <f>VLOOKUP(Table1[[#This Row],[sheet]],Prg!$A$7:$J$31,5,FALSE)</f>
        <v>CONGO (DEMOCRATIC REP.)</v>
      </c>
      <c r="AG1204">
        <f>ROW()</f>
        <v>1204</v>
      </c>
    </row>
    <row r="1205" spans="24:33" hidden="1" x14ac:dyDescent="0.25">
      <c r="X1205">
        <v>7</v>
      </c>
      <c r="Y1205" t="s">
        <v>783</v>
      </c>
      <c r="Z1205" t="s">
        <v>784</v>
      </c>
      <c r="AA1205" t="str">
        <f>IF(OR(VLOOKUP(Table1[[#This Row],[sheet]],Prg!$A$7:$F$31,6,FALSE)=Prg!$O$2,VLOOKUP(Table1[[#This Row],[sheet]],Prg!$A$7:$F$31,6,FALSE)=Prg!$O$3),"Yes","No")</f>
        <v>Yes</v>
      </c>
      <c r="AB1205">
        <v>2025</v>
      </c>
      <c r="AC1205">
        <v>18</v>
      </c>
      <c r="AD1205">
        <f ca="1">IF(ISERROR(VLOOKUP(Table1[[#This Row],[item]],INDIRECT("'"&amp;Table1[[#This Row],[sheet]]&amp;"'!$A$8:$T$42"),Table1[[#This Row],[r]],FALSE)),"",VLOOKUP(Table1[[#This Row],[item]],INDIRECT("'"&amp;Table1[[#This Row],[sheet]]&amp;"'!$A$8:$T$42"),Table1[[#This Row],[r]],FALSE))</f>
        <v>22142.35</v>
      </c>
      <c r="AE1205">
        <f>IF(VLOOKUP(Table1[[#This Row],[sheet]],Prg!$A$7:$J$31,10,FALSE)="","",VLOOKUP(Table1[[#This Row],[sheet]],Prg!$A$7:$J$31,10,FALSE)*1)</f>
        <v>1</v>
      </c>
      <c r="AF1205" t="str">
        <f>VLOOKUP(Table1[[#This Row],[sheet]],Prg!$A$7:$J$31,5,FALSE)</f>
        <v>CONGO (DEMOCRATIC REP.)</v>
      </c>
      <c r="AG1205">
        <f>ROW()</f>
        <v>1205</v>
      </c>
    </row>
    <row r="1206" spans="24:33" hidden="1" x14ac:dyDescent="0.25">
      <c r="X1206">
        <v>7</v>
      </c>
      <c r="Y1206" t="s">
        <v>785</v>
      </c>
      <c r="Z1206" t="s">
        <v>786</v>
      </c>
      <c r="AA1206" t="str">
        <f>IF(OR(VLOOKUP(Table1[[#This Row],[sheet]],Prg!$A$7:$F$31,6,FALSE)=Prg!$O$2,VLOOKUP(Table1[[#This Row],[sheet]],Prg!$A$7:$F$31,6,FALSE)=Prg!$O$3),"Yes","No")</f>
        <v>Yes</v>
      </c>
      <c r="AB1206">
        <v>2025</v>
      </c>
      <c r="AC1206">
        <v>18</v>
      </c>
      <c r="AD1206">
        <f ca="1">IF(ISERROR(VLOOKUP(Table1[[#This Row],[item]],INDIRECT("'"&amp;Table1[[#This Row],[sheet]]&amp;"'!$A$8:$T$42"),Table1[[#This Row],[r]],FALSE)),"",VLOOKUP(Table1[[#This Row],[item]],INDIRECT("'"&amp;Table1[[#This Row],[sheet]]&amp;"'!$A$8:$T$42"),Table1[[#This Row],[r]],FALSE))</f>
        <v>164580.09</v>
      </c>
      <c r="AE1206">
        <f>IF(VLOOKUP(Table1[[#This Row],[sheet]],Prg!$A$7:$J$31,10,FALSE)="","",VLOOKUP(Table1[[#This Row],[sheet]],Prg!$A$7:$J$31,10,FALSE)*1)</f>
        <v>1</v>
      </c>
      <c r="AF1206" t="str">
        <f>VLOOKUP(Table1[[#This Row],[sheet]],Prg!$A$7:$J$31,5,FALSE)</f>
        <v>CONGO (DEMOCRATIC REP.)</v>
      </c>
      <c r="AG1206">
        <f>ROW()</f>
        <v>1206</v>
      </c>
    </row>
    <row r="1207" spans="24:33" hidden="1" x14ac:dyDescent="0.25">
      <c r="X1207">
        <v>7</v>
      </c>
      <c r="Y1207" t="s">
        <v>787</v>
      </c>
      <c r="Z1207" t="s">
        <v>633</v>
      </c>
      <c r="AA1207" t="str">
        <f>IF(OR(VLOOKUP(Table1[[#This Row],[sheet]],Prg!$A$7:$F$31,6,FALSE)=Prg!$O$2,VLOOKUP(Table1[[#This Row],[sheet]],Prg!$A$7:$F$31,6,FALSE)=Prg!$O$3),"Yes","No")</f>
        <v>Yes</v>
      </c>
      <c r="AB1207">
        <v>2025</v>
      </c>
      <c r="AC1207">
        <v>18</v>
      </c>
      <c r="AD1207">
        <f ca="1">IF(ISERROR(VLOOKUP(Table1[[#This Row],[item]],INDIRECT("'"&amp;Table1[[#This Row],[sheet]]&amp;"'!$A$8:$T$42"),Table1[[#This Row],[r]],FALSE)),"",VLOOKUP(Table1[[#This Row],[item]],INDIRECT("'"&amp;Table1[[#This Row],[sheet]]&amp;"'!$A$8:$T$42"),Table1[[#This Row],[r]],FALSE))</f>
        <v>0</v>
      </c>
      <c r="AE1207">
        <f>IF(VLOOKUP(Table1[[#This Row],[sheet]],Prg!$A$7:$J$31,10,FALSE)="","",VLOOKUP(Table1[[#This Row],[sheet]],Prg!$A$7:$J$31,10,FALSE)*1)</f>
        <v>1</v>
      </c>
      <c r="AF1207" t="str">
        <f>VLOOKUP(Table1[[#This Row],[sheet]],Prg!$A$7:$J$31,5,FALSE)</f>
        <v>CONGO (DEMOCRATIC REP.)</v>
      </c>
      <c r="AG1207">
        <f>ROW()</f>
        <v>1207</v>
      </c>
    </row>
    <row r="1208" spans="24:33" hidden="1" x14ac:dyDescent="0.25">
      <c r="X1208">
        <v>7</v>
      </c>
      <c r="Y1208" t="s">
        <v>753</v>
      </c>
      <c r="Z1208" t="s">
        <v>162</v>
      </c>
      <c r="AA1208" t="str">
        <f>IF(OR(VLOOKUP(Table1[[#This Row],[sheet]],Prg!$A$7:$F$31,6,FALSE)=Prg!$O$2,VLOOKUP(Table1[[#This Row],[sheet]],Prg!$A$7:$F$31,6,FALSE)=Prg!$O$3),"Yes","No")</f>
        <v>Yes</v>
      </c>
      <c r="AB1208">
        <v>2026</v>
      </c>
      <c r="AC1208">
        <v>19</v>
      </c>
      <c r="AD1208">
        <f ca="1">IF(ISERROR(VLOOKUP(Table1[[#This Row],[item]],INDIRECT("'"&amp;Table1[[#This Row],[sheet]]&amp;"'!$A$8:$T$42"),Table1[[#This Row],[r]],FALSE)),"",VLOOKUP(Table1[[#This Row],[item]],INDIRECT("'"&amp;Table1[[#This Row],[sheet]]&amp;"'!$A$8:$T$42"),Table1[[#This Row],[r]],FALSE))</f>
        <v>255885.28454545455</v>
      </c>
      <c r="AE1208">
        <f>IF(VLOOKUP(Table1[[#This Row],[sheet]],Prg!$A$7:$J$31,10,FALSE)="","",VLOOKUP(Table1[[#This Row],[sheet]],Prg!$A$7:$J$31,10,FALSE)*1)</f>
        <v>1</v>
      </c>
      <c r="AF1208" t="str">
        <f>VLOOKUP(Table1[[#This Row],[sheet]],Prg!$A$7:$J$31,5,FALSE)</f>
        <v>CONGO (DEMOCRATIC REP.)</v>
      </c>
      <c r="AG1208">
        <f>ROW()</f>
        <v>1208</v>
      </c>
    </row>
    <row r="1209" spans="24:33" hidden="1" x14ac:dyDescent="0.25">
      <c r="X1209">
        <v>7</v>
      </c>
      <c r="Y1209" t="s">
        <v>754</v>
      </c>
      <c r="Z1209" t="s">
        <v>164</v>
      </c>
      <c r="AA1209" t="str">
        <f>IF(OR(VLOOKUP(Table1[[#This Row],[sheet]],Prg!$A$7:$F$31,6,FALSE)=Prg!$O$2,VLOOKUP(Table1[[#This Row],[sheet]],Prg!$A$7:$F$31,6,FALSE)=Prg!$O$3),"Yes","No")</f>
        <v>Yes</v>
      </c>
      <c r="AB1209">
        <v>2026</v>
      </c>
      <c r="AC1209">
        <v>19</v>
      </c>
      <c r="AD1209">
        <f ca="1">IF(ISERROR(VLOOKUP(Table1[[#This Row],[item]],INDIRECT("'"&amp;Table1[[#This Row],[sheet]]&amp;"'!$A$8:$T$42"),Table1[[#This Row],[r]],FALSE)),"",VLOOKUP(Table1[[#This Row],[item]],INDIRECT("'"&amp;Table1[[#This Row],[sheet]]&amp;"'!$A$8:$T$42"),Table1[[#This Row],[r]],FALSE))</f>
        <v>3640</v>
      </c>
      <c r="AE1209">
        <f>IF(VLOOKUP(Table1[[#This Row],[sheet]],Prg!$A$7:$J$31,10,FALSE)="","",VLOOKUP(Table1[[#This Row],[sheet]],Prg!$A$7:$J$31,10,FALSE)*1)</f>
        <v>1</v>
      </c>
      <c r="AF1209" t="str">
        <f>VLOOKUP(Table1[[#This Row],[sheet]],Prg!$A$7:$J$31,5,FALSE)</f>
        <v>CONGO (DEMOCRATIC REP.)</v>
      </c>
      <c r="AG1209">
        <f>ROW()</f>
        <v>1209</v>
      </c>
    </row>
    <row r="1210" spans="24:33" hidden="1" x14ac:dyDescent="0.25">
      <c r="X1210">
        <v>7</v>
      </c>
      <c r="Y1210" t="s">
        <v>755</v>
      </c>
      <c r="Z1210" t="s">
        <v>166</v>
      </c>
      <c r="AA1210" t="str">
        <f>IF(OR(VLOOKUP(Table1[[#This Row],[sheet]],Prg!$A$7:$F$31,6,FALSE)=Prg!$O$2,VLOOKUP(Table1[[#This Row],[sheet]],Prg!$A$7:$F$31,6,FALSE)=Prg!$O$3),"Yes","No")</f>
        <v>Yes</v>
      </c>
      <c r="AB1210">
        <v>2026</v>
      </c>
      <c r="AC1210">
        <v>19</v>
      </c>
      <c r="AD1210">
        <f ca="1">IF(ISERROR(VLOOKUP(Table1[[#This Row],[item]],INDIRECT("'"&amp;Table1[[#This Row],[sheet]]&amp;"'!$A$8:$T$42"),Table1[[#This Row],[r]],FALSE)),"",VLOOKUP(Table1[[#This Row],[item]],INDIRECT("'"&amp;Table1[[#This Row],[sheet]]&amp;"'!$A$8:$T$42"),Table1[[#This Row],[r]],FALSE))</f>
        <v>183959.28454545455</v>
      </c>
      <c r="AE1210">
        <f>IF(VLOOKUP(Table1[[#This Row],[sheet]],Prg!$A$7:$J$31,10,FALSE)="","",VLOOKUP(Table1[[#This Row],[sheet]],Prg!$A$7:$J$31,10,FALSE)*1)</f>
        <v>1</v>
      </c>
      <c r="AF1210" t="str">
        <f>VLOOKUP(Table1[[#This Row],[sheet]],Prg!$A$7:$J$31,5,FALSE)</f>
        <v>CONGO (DEMOCRATIC REP.)</v>
      </c>
      <c r="AG1210">
        <f>ROW()</f>
        <v>1210</v>
      </c>
    </row>
    <row r="1211" spans="24:33" hidden="1" x14ac:dyDescent="0.25">
      <c r="X1211">
        <v>7</v>
      </c>
      <c r="Y1211" t="s">
        <v>756</v>
      </c>
      <c r="Z1211" t="s">
        <v>757</v>
      </c>
      <c r="AA1211" t="str">
        <f>IF(OR(VLOOKUP(Table1[[#This Row],[sheet]],Prg!$A$7:$F$31,6,FALSE)=Prg!$O$2,VLOOKUP(Table1[[#This Row],[sheet]],Prg!$A$7:$F$31,6,FALSE)=Prg!$O$3),"Yes","No")</f>
        <v>Yes</v>
      </c>
      <c r="AB1211">
        <v>2026</v>
      </c>
      <c r="AC1211">
        <v>19</v>
      </c>
      <c r="AD1211">
        <f ca="1">IF(ISERROR(VLOOKUP(Table1[[#This Row],[item]],INDIRECT("'"&amp;Table1[[#This Row],[sheet]]&amp;"'!$A$8:$T$42"),Table1[[#This Row],[r]],FALSE)),"",VLOOKUP(Table1[[#This Row],[item]],INDIRECT("'"&amp;Table1[[#This Row],[sheet]]&amp;"'!$A$8:$T$42"),Table1[[#This Row],[r]],FALSE))</f>
        <v>68286</v>
      </c>
      <c r="AE1211">
        <f>IF(VLOOKUP(Table1[[#This Row],[sheet]],Prg!$A$7:$J$31,10,FALSE)="","",VLOOKUP(Table1[[#This Row],[sheet]],Prg!$A$7:$J$31,10,FALSE)*1)</f>
        <v>1</v>
      </c>
      <c r="AF1211" t="str">
        <f>VLOOKUP(Table1[[#This Row],[sheet]],Prg!$A$7:$J$31,5,FALSE)</f>
        <v>CONGO (DEMOCRATIC REP.)</v>
      </c>
      <c r="AG1211">
        <f>ROW()</f>
        <v>1211</v>
      </c>
    </row>
    <row r="1212" spans="24:33" hidden="1" x14ac:dyDescent="0.25">
      <c r="X1212">
        <v>7</v>
      </c>
      <c r="Y1212" t="s">
        <v>758</v>
      </c>
      <c r="Z1212" t="s">
        <v>170</v>
      </c>
      <c r="AA1212" t="str">
        <f>IF(OR(VLOOKUP(Table1[[#This Row],[sheet]],Prg!$A$7:$F$31,6,FALSE)=Prg!$O$2,VLOOKUP(Table1[[#This Row],[sheet]],Prg!$A$7:$F$31,6,FALSE)=Prg!$O$3),"Yes","No")</f>
        <v>Yes</v>
      </c>
      <c r="AB1212">
        <v>2026</v>
      </c>
      <c r="AC1212">
        <v>19</v>
      </c>
      <c r="AD1212">
        <f ca="1">IF(ISERROR(VLOOKUP(Table1[[#This Row],[item]],INDIRECT("'"&amp;Table1[[#This Row],[sheet]]&amp;"'!$A$8:$T$42"),Table1[[#This Row],[r]],FALSE)),"",VLOOKUP(Table1[[#This Row],[item]],INDIRECT("'"&amp;Table1[[#This Row],[sheet]]&amp;"'!$A$8:$T$42"),Table1[[#This Row],[r]],FALSE))</f>
        <v>9017.18</v>
      </c>
      <c r="AE1212">
        <f>IF(VLOOKUP(Table1[[#This Row],[sheet]],Prg!$A$7:$J$31,10,FALSE)="","",VLOOKUP(Table1[[#This Row],[sheet]],Prg!$A$7:$J$31,10,FALSE)*1)</f>
        <v>1</v>
      </c>
      <c r="AF1212" t="str">
        <f>VLOOKUP(Table1[[#This Row],[sheet]],Prg!$A$7:$J$31,5,FALSE)</f>
        <v>CONGO (DEMOCRATIC REP.)</v>
      </c>
      <c r="AG1212">
        <f>ROW()</f>
        <v>1212</v>
      </c>
    </row>
    <row r="1213" spans="24:33" hidden="1" x14ac:dyDescent="0.25">
      <c r="X1213">
        <v>7</v>
      </c>
      <c r="Y1213" t="s">
        <v>759</v>
      </c>
      <c r="Z1213" t="s">
        <v>172</v>
      </c>
      <c r="AA1213" t="str">
        <f>IF(OR(VLOOKUP(Table1[[#This Row],[sheet]],Prg!$A$7:$F$31,6,FALSE)=Prg!$O$2,VLOOKUP(Table1[[#This Row],[sheet]],Prg!$A$7:$F$31,6,FALSE)=Prg!$O$3),"Yes","No")</f>
        <v>Yes</v>
      </c>
      <c r="AB1213">
        <v>2026</v>
      </c>
      <c r="AC1213">
        <v>19</v>
      </c>
      <c r="AD1213">
        <f ca="1">IF(ISERROR(VLOOKUP(Table1[[#This Row],[item]],INDIRECT("'"&amp;Table1[[#This Row],[sheet]]&amp;"'!$A$8:$T$42"),Table1[[#This Row],[r]],FALSE)),"",VLOOKUP(Table1[[#This Row],[item]],INDIRECT("'"&amp;Table1[[#This Row],[sheet]]&amp;"'!$A$8:$T$42"),Table1[[#This Row],[r]],FALSE))</f>
        <v>0</v>
      </c>
      <c r="AE1213">
        <f>IF(VLOOKUP(Table1[[#This Row],[sheet]],Prg!$A$7:$J$31,10,FALSE)="","",VLOOKUP(Table1[[#This Row],[sheet]],Prg!$A$7:$J$31,10,FALSE)*1)</f>
        <v>1</v>
      </c>
      <c r="AF1213" t="str">
        <f>VLOOKUP(Table1[[#This Row],[sheet]],Prg!$A$7:$J$31,5,FALSE)</f>
        <v>CONGO (DEMOCRATIC REP.)</v>
      </c>
      <c r="AG1213">
        <f>ROW()</f>
        <v>1213</v>
      </c>
    </row>
    <row r="1214" spans="24:33" hidden="1" x14ac:dyDescent="0.25">
      <c r="X1214">
        <v>7</v>
      </c>
      <c r="Y1214" t="s">
        <v>760</v>
      </c>
      <c r="Z1214" t="s">
        <v>174</v>
      </c>
      <c r="AA1214" t="str">
        <f>IF(OR(VLOOKUP(Table1[[#This Row],[sheet]],Prg!$A$7:$F$31,6,FALSE)=Prg!$O$2,VLOOKUP(Table1[[#This Row],[sheet]],Prg!$A$7:$F$31,6,FALSE)=Prg!$O$3),"Yes","No")</f>
        <v>Yes</v>
      </c>
      <c r="AB1214">
        <v>2026</v>
      </c>
      <c r="AC1214">
        <v>19</v>
      </c>
      <c r="AD1214">
        <f ca="1">IF(ISERROR(VLOOKUP(Table1[[#This Row],[item]],INDIRECT("'"&amp;Table1[[#This Row],[sheet]]&amp;"'!$A$8:$T$42"),Table1[[#This Row],[r]],FALSE)),"",VLOOKUP(Table1[[#This Row],[item]],INDIRECT("'"&amp;Table1[[#This Row],[sheet]]&amp;"'!$A$8:$T$42"),Table1[[#This Row],[r]],FALSE))</f>
        <v>6767.18</v>
      </c>
      <c r="AE1214">
        <f>IF(VLOOKUP(Table1[[#This Row],[sheet]],Prg!$A$7:$J$31,10,FALSE)="","",VLOOKUP(Table1[[#This Row],[sheet]],Prg!$A$7:$J$31,10,FALSE)*1)</f>
        <v>1</v>
      </c>
      <c r="AF1214" t="str">
        <f>VLOOKUP(Table1[[#This Row],[sheet]],Prg!$A$7:$J$31,5,FALSE)</f>
        <v>CONGO (DEMOCRATIC REP.)</v>
      </c>
      <c r="AG1214">
        <f>ROW()</f>
        <v>1214</v>
      </c>
    </row>
    <row r="1215" spans="24:33" hidden="1" x14ac:dyDescent="0.25">
      <c r="X1215">
        <v>7</v>
      </c>
      <c r="Y1215" t="s">
        <v>761</v>
      </c>
      <c r="Z1215" t="s">
        <v>762</v>
      </c>
      <c r="AA1215" t="str">
        <f>IF(OR(VLOOKUP(Table1[[#This Row],[sheet]],Prg!$A$7:$F$31,6,FALSE)=Prg!$O$2,VLOOKUP(Table1[[#This Row],[sheet]],Prg!$A$7:$F$31,6,FALSE)=Prg!$O$3),"Yes","No")</f>
        <v>Yes</v>
      </c>
      <c r="AB1215">
        <v>2026</v>
      </c>
      <c r="AC1215">
        <v>19</v>
      </c>
      <c r="AD1215">
        <f ca="1">IF(ISERROR(VLOOKUP(Table1[[#This Row],[item]],INDIRECT("'"&amp;Table1[[#This Row],[sheet]]&amp;"'!$A$8:$T$42"),Table1[[#This Row],[r]],FALSE)),"",VLOOKUP(Table1[[#This Row],[item]],INDIRECT("'"&amp;Table1[[#This Row],[sheet]]&amp;"'!$A$8:$T$42"),Table1[[#This Row],[r]],FALSE))</f>
        <v>2250</v>
      </c>
      <c r="AE1215">
        <f>IF(VLOOKUP(Table1[[#This Row],[sheet]],Prg!$A$7:$J$31,10,FALSE)="","",VLOOKUP(Table1[[#This Row],[sheet]],Prg!$A$7:$J$31,10,FALSE)*1)</f>
        <v>1</v>
      </c>
      <c r="AF1215" t="str">
        <f>VLOOKUP(Table1[[#This Row],[sheet]],Prg!$A$7:$J$31,5,FALSE)</f>
        <v>CONGO (DEMOCRATIC REP.)</v>
      </c>
      <c r="AG1215">
        <f>ROW()</f>
        <v>1215</v>
      </c>
    </row>
    <row r="1216" spans="24:33" hidden="1" x14ac:dyDescent="0.25">
      <c r="X1216">
        <v>7</v>
      </c>
      <c r="Y1216" t="s">
        <v>763</v>
      </c>
      <c r="Z1216" t="s">
        <v>178</v>
      </c>
      <c r="AA1216" t="str">
        <f>IF(OR(VLOOKUP(Table1[[#This Row],[sheet]],Prg!$A$7:$F$31,6,FALSE)=Prg!$O$2,VLOOKUP(Table1[[#This Row],[sheet]],Prg!$A$7:$F$31,6,FALSE)=Prg!$O$3),"Yes","No")</f>
        <v>Yes</v>
      </c>
      <c r="AB1216">
        <v>2026</v>
      </c>
      <c r="AC1216">
        <v>19</v>
      </c>
      <c r="AD1216">
        <f ca="1">IF(ISERROR(VLOOKUP(Table1[[#This Row],[item]],INDIRECT("'"&amp;Table1[[#This Row],[sheet]]&amp;"'!$A$8:$T$42"),Table1[[#This Row],[r]],FALSE)),"",VLOOKUP(Table1[[#This Row],[item]],INDIRECT("'"&amp;Table1[[#This Row],[sheet]]&amp;"'!$A$8:$T$42"),Table1[[#This Row],[r]],FALSE))</f>
        <v>154360</v>
      </c>
      <c r="AE1216">
        <f>IF(VLOOKUP(Table1[[#This Row],[sheet]],Prg!$A$7:$J$31,10,FALSE)="","",VLOOKUP(Table1[[#This Row],[sheet]],Prg!$A$7:$J$31,10,FALSE)*1)</f>
        <v>1</v>
      </c>
      <c r="AF1216" t="str">
        <f>VLOOKUP(Table1[[#This Row],[sheet]],Prg!$A$7:$J$31,5,FALSE)</f>
        <v>CONGO (DEMOCRATIC REP.)</v>
      </c>
      <c r="AG1216">
        <f>ROW()</f>
        <v>1216</v>
      </c>
    </row>
    <row r="1217" spans="24:33" hidden="1" x14ac:dyDescent="0.25">
      <c r="X1217">
        <v>7</v>
      </c>
      <c r="Y1217" t="s">
        <v>764</v>
      </c>
      <c r="Z1217" t="s">
        <v>109</v>
      </c>
      <c r="AA1217" t="str">
        <f>IF(OR(VLOOKUP(Table1[[#This Row],[sheet]],Prg!$A$7:$F$31,6,FALSE)=Prg!$O$2,VLOOKUP(Table1[[#This Row],[sheet]],Prg!$A$7:$F$31,6,FALSE)=Prg!$O$3),"Yes","No")</f>
        <v>Yes</v>
      </c>
      <c r="AB1217">
        <v>2026</v>
      </c>
      <c r="AC1217">
        <v>19</v>
      </c>
      <c r="AD1217">
        <f ca="1">IF(ISERROR(VLOOKUP(Table1[[#This Row],[item]],INDIRECT("'"&amp;Table1[[#This Row],[sheet]]&amp;"'!$A$8:$T$42"),Table1[[#This Row],[r]],FALSE)),"",VLOOKUP(Table1[[#This Row],[item]],INDIRECT("'"&amp;Table1[[#This Row],[sheet]]&amp;"'!$A$8:$T$42"),Table1[[#This Row],[r]],FALSE))</f>
        <v>0</v>
      </c>
      <c r="AE1217">
        <f>IF(VLOOKUP(Table1[[#This Row],[sheet]],Prg!$A$7:$J$31,10,FALSE)="","",VLOOKUP(Table1[[#This Row],[sheet]],Prg!$A$7:$J$31,10,FALSE)*1)</f>
        <v>1</v>
      </c>
      <c r="AF1217" t="str">
        <f>VLOOKUP(Table1[[#This Row],[sheet]],Prg!$A$7:$J$31,5,FALSE)</f>
        <v>CONGO (DEMOCRATIC REP.)</v>
      </c>
      <c r="AG1217">
        <f>ROW()</f>
        <v>1217</v>
      </c>
    </row>
    <row r="1218" spans="24:33" hidden="1" x14ac:dyDescent="0.25">
      <c r="X1218">
        <v>7</v>
      </c>
      <c r="Y1218" t="s">
        <v>765</v>
      </c>
      <c r="Z1218" t="s">
        <v>117</v>
      </c>
      <c r="AA1218" t="str">
        <f>IF(OR(VLOOKUP(Table1[[#This Row],[sheet]],Prg!$A$7:$F$31,6,FALSE)=Prg!$O$2,VLOOKUP(Table1[[#This Row],[sheet]],Prg!$A$7:$F$31,6,FALSE)=Prg!$O$3),"Yes","No")</f>
        <v>Yes</v>
      </c>
      <c r="AB1218">
        <v>2026</v>
      </c>
      <c r="AC1218">
        <v>19</v>
      </c>
      <c r="AD1218">
        <f ca="1">IF(ISERROR(VLOOKUP(Table1[[#This Row],[item]],INDIRECT("'"&amp;Table1[[#This Row],[sheet]]&amp;"'!$A$8:$T$42"),Table1[[#This Row],[r]],FALSE)),"",VLOOKUP(Table1[[#This Row],[item]],INDIRECT("'"&amp;Table1[[#This Row],[sheet]]&amp;"'!$A$8:$T$42"),Table1[[#This Row],[r]],FALSE))</f>
        <v>38173.56</v>
      </c>
      <c r="AE1218">
        <f>IF(VLOOKUP(Table1[[#This Row],[sheet]],Prg!$A$7:$J$31,10,FALSE)="","",VLOOKUP(Table1[[#This Row],[sheet]],Prg!$A$7:$J$31,10,FALSE)*1)</f>
        <v>1</v>
      </c>
      <c r="AF1218" t="str">
        <f>VLOOKUP(Table1[[#This Row],[sheet]],Prg!$A$7:$J$31,5,FALSE)</f>
        <v>CONGO (DEMOCRATIC REP.)</v>
      </c>
      <c r="AG1218">
        <f>ROW()</f>
        <v>1218</v>
      </c>
    </row>
    <row r="1219" spans="24:33" hidden="1" x14ac:dyDescent="0.25">
      <c r="X1219">
        <v>7</v>
      </c>
      <c r="Y1219" t="s">
        <v>766</v>
      </c>
      <c r="Z1219" t="s">
        <v>767</v>
      </c>
      <c r="AA1219" t="str">
        <f>IF(OR(VLOOKUP(Table1[[#This Row],[sheet]],Prg!$A$7:$F$31,6,FALSE)=Prg!$O$2,VLOOKUP(Table1[[#This Row],[sheet]],Prg!$A$7:$F$31,6,FALSE)=Prg!$O$3),"Yes","No")</f>
        <v>Yes</v>
      </c>
      <c r="AB1219">
        <v>2026</v>
      </c>
      <c r="AC1219">
        <v>19</v>
      </c>
      <c r="AD1219">
        <f ca="1">IF(ISERROR(VLOOKUP(Table1[[#This Row],[item]],INDIRECT("'"&amp;Table1[[#This Row],[sheet]]&amp;"'!$A$8:$T$42"),Table1[[#This Row],[r]],FALSE)),"",VLOOKUP(Table1[[#This Row],[item]],INDIRECT("'"&amp;Table1[[#This Row],[sheet]]&amp;"'!$A$8:$T$42"),Table1[[#This Row],[r]],FALSE))</f>
        <v>116186.44</v>
      </c>
      <c r="AE1219">
        <f>IF(VLOOKUP(Table1[[#This Row],[sheet]],Prg!$A$7:$J$31,10,FALSE)="","",VLOOKUP(Table1[[#This Row],[sheet]],Prg!$A$7:$J$31,10,FALSE)*1)</f>
        <v>1</v>
      </c>
      <c r="AF1219" t="str">
        <f>VLOOKUP(Table1[[#This Row],[sheet]],Prg!$A$7:$J$31,5,FALSE)</f>
        <v>CONGO (DEMOCRATIC REP.)</v>
      </c>
      <c r="AG1219">
        <f>ROW()</f>
        <v>1219</v>
      </c>
    </row>
    <row r="1220" spans="24:33" hidden="1" x14ac:dyDescent="0.25">
      <c r="X1220">
        <v>7</v>
      </c>
      <c r="Y1220" t="s">
        <v>768</v>
      </c>
      <c r="Z1220" t="s">
        <v>182</v>
      </c>
      <c r="AA1220" t="str">
        <f>IF(OR(VLOOKUP(Table1[[#This Row],[sheet]],Prg!$A$7:$F$31,6,FALSE)=Prg!$O$2,VLOOKUP(Table1[[#This Row],[sheet]],Prg!$A$7:$F$31,6,FALSE)=Prg!$O$3),"Yes","No")</f>
        <v>Yes</v>
      </c>
      <c r="AB1220">
        <v>2026</v>
      </c>
      <c r="AC1220">
        <v>19</v>
      </c>
      <c r="AD1220">
        <f ca="1">IF(ISERROR(VLOOKUP(Table1[[#This Row],[item]],INDIRECT("'"&amp;Table1[[#This Row],[sheet]]&amp;"'!$A$8:$T$42"),Table1[[#This Row],[r]],FALSE)),"",VLOOKUP(Table1[[#This Row],[item]],INDIRECT("'"&amp;Table1[[#This Row],[sheet]]&amp;"'!$A$8:$T$42"),Table1[[#This Row],[r]],FALSE))</f>
        <v>4000</v>
      </c>
      <c r="AE1220">
        <f>IF(VLOOKUP(Table1[[#This Row],[sheet]],Prg!$A$7:$J$31,10,FALSE)="","",VLOOKUP(Table1[[#This Row],[sheet]],Prg!$A$7:$J$31,10,FALSE)*1)</f>
        <v>1</v>
      </c>
      <c r="AF1220" t="str">
        <f>VLOOKUP(Table1[[#This Row],[sheet]],Prg!$A$7:$J$31,5,FALSE)</f>
        <v>CONGO (DEMOCRATIC REP.)</v>
      </c>
      <c r="AG1220">
        <f>ROW()</f>
        <v>1220</v>
      </c>
    </row>
    <row r="1221" spans="24:33" hidden="1" x14ac:dyDescent="0.25">
      <c r="X1221">
        <v>7</v>
      </c>
      <c r="Y1221" t="s">
        <v>769</v>
      </c>
      <c r="Z1221" t="s">
        <v>184</v>
      </c>
      <c r="AA1221" t="str">
        <f>IF(OR(VLOOKUP(Table1[[#This Row],[sheet]],Prg!$A$7:$F$31,6,FALSE)=Prg!$O$2,VLOOKUP(Table1[[#This Row],[sheet]],Prg!$A$7:$F$31,6,FALSE)=Prg!$O$3),"Yes","No")</f>
        <v>Yes</v>
      </c>
      <c r="AB1221">
        <v>2026</v>
      </c>
      <c r="AC1221">
        <v>19</v>
      </c>
      <c r="AD1221">
        <f ca="1">IF(ISERROR(VLOOKUP(Table1[[#This Row],[item]],INDIRECT("'"&amp;Table1[[#This Row],[sheet]]&amp;"'!$A$8:$T$42"),Table1[[#This Row],[r]],FALSE)),"",VLOOKUP(Table1[[#This Row],[item]],INDIRECT("'"&amp;Table1[[#This Row],[sheet]]&amp;"'!$A$8:$T$42"),Table1[[#This Row],[r]],FALSE))</f>
        <v>0</v>
      </c>
      <c r="AE1221">
        <f>IF(VLOOKUP(Table1[[#This Row],[sheet]],Prg!$A$7:$J$31,10,FALSE)="","",VLOOKUP(Table1[[#This Row],[sheet]],Prg!$A$7:$J$31,10,FALSE)*1)</f>
        <v>1</v>
      </c>
      <c r="AF1221" t="str">
        <f>VLOOKUP(Table1[[#This Row],[sheet]],Prg!$A$7:$J$31,5,FALSE)</f>
        <v>CONGO (DEMOCRATIC REP.)</v>
      </c>
      <c r="AG1221">
        <f>ROW()</f>
        <v>1221</v>
      </c>
    </row>
    <row r="1222" spans="24:33" hidden="1" x14ac:dyDescent="0.25">
      <c r="X1222">
        <v>7</v>
      </c>
      <c r="Y1222" t="s">
        <v>770</v>
      </c>
      <c r="Z1222" t="s">
        <v>186</v>
      </c>
      <c r="AA1222" t="str">
        <f>IF(OR(VLOOKUP(Table1[[#This Row],[sheet]],Prg!$A$7:$F$31,6,FALSE)=Prg!$O$2,VLOOKUP(Table1[[#This Row],[sheet]],Prg!$A$7:$F$31,6,FALSE)=Prg!$O$3),"Yes","No")</f>
        <v>Yes</v>
      </c>
      <c r="AB1222">
        <v>2026</v>
      </c>
      <c r="AC1222">
        <v>19</v>
      </c>
      <c r="AD1222">
        <f ca="1">IF(ISERROR(VLOOKUP(Table1[[#This Row],[item]],INDIRECT("'"&amp;Table1[[#This Row],[sheet]]&amp;"'!$A$8:$T$42"),Table1[[#This Row],[r]],FALSE)),"",VLOOKUP(Table1[[#This Row],[item]],INDIRECT("'"&amp;Table1[[#This Row],[sheet]]&amp;"'!$A$8:$T$42"),Table1[[#This Row],[r]],FALSE))</f>
        <v>4000</v>
      </c>
      <c r="AE1222">
        <f>IF(VLOOKUP(Table1[[#This Row],[sheet]],Prg!$A$7:$J$31,10,FALSE)="","",VLOOKUP(Table1[[#This Row],[sheet]],Prg!$A$7:$J$31,10,FALSE)*1)</f>
        <v>1</v>
      </c>
      <c r="AF1222" t="str">
        <f>VLOOKUP(Table1[[#This Row],[sheet]],Prg!$A$7:$J$31,5,FALSE)</f>
        <v>CONGO (DEMOCRATIC REP.)</v>
      </c>
      <c r="AG1222">
        <f>ROW()</f>
        <v>1222</v>
      </c>
    </row>
    <row r="1223" spans="24:33" hidden="1" x14ac:dyDescent="0.25">
      <c r="X1223">
        <v>7</v>
      </c>
      <c r="Y1223" t="s">
        <v>771</v>
      </c>
      <c r="Z1223" t="s">
        <v>772</v>
      </c>
      <c r="AA1223" t="str">
        <f>IF(OR(VLOOKUP(Table1[[#This Row],[sheet]],Prg!$A$7:$F$31,6,FALSE)=Prg!$O$2,VLOOKUP(Table1[[#This Row],[sheet]],Prg!$A$7:$F$31,6,FALSE)=Prg!$O$3),"Yes","No")</f>
        <v>Yes</v>
      </c>
      <c r="AB1223">
        <v>2026</v>
      </c>
      <c r="AC1223">
        <v>19</v>
      </c>
      <c r="AD1223">
        <f ca="1">IF(ISERROR(VLOOKUP(Table1[[#This Row],[item]],INDIRECT("'"&amp;Table1[[#This Row],[sheet]]&amp;"'!$A$8:$T$42"),Table1[[#This Row],[r]],FALSE)),"",VLOOKUP(Table1[[#This Row],[item]],INDIRECT("'"&amp;Table1[[#This Row],[sheet]]&amp;"'!$A$8:$T$42"),Table1[[#This Row],[r]],FALSE))</f>
        <v>0</v>
      </c>
      <c r="AE1223">
        <f>IF(VLOOKUP(Table1[[#This Row],[sheet]],Prg!$A$7:$J$31,10,FALSE)="","",VLOOKUP(Table1[[#This Row],[sheet]],Prg!$A$7:$J$31,10,FALSE)*1)</f>
        <v>1</v>
      </c>
      <c r="AF1223" t="str">
        <f>VLOOKUP(Table1[[#This Row],[sheet]],Prg!$A$7:$J$31,5,FALSE)</f>
        <v>CONGO (DEMOCRATIC REP.)</v>
      </c>
      <c r="AG1223">
        <f>ROW()</f>
        <v>1223</v>
      </c>
    </row>
    <row r="1224" spans="24:33" hidden="1" x14ac:dyDescent="0.25">
      <c r="X1224">
        <v>7</v>
      </c>
      <c r="Y1224" t="s">
        <v>773</v>
      </c>
      <c r="Z1224" t="s">
        <v>190</v>
      </c>
      <c r="AA1224" t="str">
        <f>IF(OR(VLOOKUP(Table1[[#This Row],[sheet]],Prg!$A$7:$F$31,6,FALSE)=Prg!$O$2,VLOOKUP(Table1[[#This Row],[sheet]],Prg!$A$7:$F$31,6,FALSE)=Prg!$O$3),"Yes","No")</f>
        <v>Yes</v>
      </c>
      <c r="AB1224">
        <v>2026</v>
      </c>
      <c r="AC1224">
        <v>19</v>
      </c>
      <c r="AD1224">
        <f ca="1">IF(ISERROR(VLOOKUP(Table1[[#This Row],[item]],INDIRECT("'"&amp;Table1[[#This Row],[sheet]]&amp;"'!$A$8:$T$42"),Table1[[#This Row],[r]],FALSE)),"",VLOOKUP(Table1[[#This Row],[item]],INDIRECT("'"&amp;Table1[[#This Row],[sheet]]&amp;"'!$A$8:$T$42"),Table1[[#This Row],[r]],FALSE))</f>
        <v>423262.4645454546</v>
      </c>
      <c r="AE1224">
        <f>IF(VLOOKUP(Table1[[#This Row],[sheet]],Prg!$A$7:$J$31,10,FALSE)="","",VLOOKUP(Table1[[#This Row],[sheet]],Prg!$A$7:$J$31,10,FALSE)*1)</f>
        <v>1</v>
      </c>
      <c r="AF1224" t="str">
        <f>VLOOKUP(Table1[[#This Row],[sheet]],Prg!$A$7:$J$31,5,FALSE)</f>
        <v>CONGO (DEMOCRATIC REP.)</v>
      </c>
      <c r="AG1224">
        <f>ROW()</f>
        <v>1224</v>
      </c>
    </row>
    <row r="1225" spans="24:33" hidden="1" x14ac:dyDescent="0.25">
      <c r="X1225">
        <v>7</v>
      </c>
      <c r="Y1225" t="s">
        <v>709</v>
      </c>
      <c r="Z1225" t="s">
        <v>192</v>
      </c>
      <c r="AA1225" t="str">
        <f>IF(OR(VLOOKUP(Table1[[#This Row],[sheet]],Prg!$A$7:$F$31,6,FALSE)=Prg!$O$2,VLOOKUP(Table1[[#This Row],[sheet]],Prg!$A$7:$F$31,6,FALSE)=Prg!$O$3),"Yes","No")</f>
        <v>Yes</v>
      </c>
      <c r="AB1225">
        <v>2026</v>
      </c>
      <c r="AC1225">
        <v>19</v>
      </c>
      <c r="AD1225">
        <f ca="1">IF(ISERROR(VLOOKUP(Table1[[#This Row],[item]],INDIRECT("'"&amp;Table1[[#This Row],[sheet]]&amp;"'!$A$8:$T$42"),Table1[[#This Row],[r]],FALSE)),"",VLOOKUP(Table1[[#This Row],[item]],INDIRECT("'"&amp;Table1[[#This Row],[sheet]]&amp;"'!$A$8:$T$42"),Table1[[#This Row],[r]],FALSE))</f>
        <v>3640</v>
      </c>
      <c r="AE1225">
        <f>IF(VLOOKUP(Table1[[#This Row],[sheet]],Prg!$A$7:$J$31,10,FALSE)="","",VLOOKUP(Table1[[#This Row],[sheet]],Prg!$A$7:$J$31,10,FALSE)*1)</f>
        <v>1</v>
      </c>
      <c r="AF1225" t="str">
        <f>VLOOKUP(Table1[[#This Row],[sheet]],Prg!$A$7:$J$31,5,FALSE)</f>
        <v>CONGO (DEMOCRATIC REP.)</v>
      </c>
      <c r="AG1225">
        <f>ROW()</f>
        <v>1225</v>
      </c>
    </row>
    <row r="1226" spans="24:33" hidden="1" x14ac:dyDescent="0.25">
      <c r="X1226">
        <v>7</v>
      </c>
      <c r="Y1226" t="s">
        <v>774</v>
      </c>
      <c r="Z1226" t="s">
        <v>194</v>
      </c>
      <c r="AA1226" t="str">
        <f>IF(OR(VLOOKUP(Table1[[#This Row],[sheet]],Prg!$A$7:$F$31,6,FALSE)=Prg!$O$2,VLOOKUP(Table1[[#This Row],[sheet]],Prg!$A$7:$F$31,6,FALSE)=Prg!$O$3),"Yes","No")</f>
        <v>Yes</v>
      </c>
      <c r="AB1226">
        <v>2026</v>
      </c>
      <c r="AC1226">
        <v>19</v>
      </c>
      <c r="AD1226">
        <f ca="1">IF(ISERROR(VLOOKUP(Table1[[#This Row],[item]],INDIRECT("'"&amp;Table1[[#This Row],[sheet]]&amp;"'!$A$8:$T$42"),Table1[[#This Row],[r]],FALSE)),"",VLOOKUP(Table1[[#This Row],[item]],INDIRECT("'"&amp;Table1[[#This Row],[sheet]]&amp;"'!$A$8:$T$42"),Table1[[#This Row],[r]],FALSE))</f>
        <v>0</v>
      </c>
      <c r="AE1226">
        <f>IF(VLOOKUP(Table1[[#This Row],[sheet]],Prg!$A$7:$J$31,10,FALSE)="","",VLOOKUP(Table1[[#This Row],[sheet]],Prg!$A$7:$J$31,10,FALSE)*1)</f>
        <v>1</v>
      </c>
      <c r="AF1226" t="str">
        <f>VLOOKUP(Table1[[#This Row],[sheet]],Prg!$A$7:$J$31,5,FALSE)</f>
        <v>CONGO (DEMOCRATIC REP.)</v>
      </c>
      <c r="AG1226">
        <f>ROW()</f>
        <v>1226</v>
      </c>
    </row>
    <row r="1227" spans="24:33" hidden="1" x14ac:dyDescent="0.25">
      <c r="X1227">
        <v>7</v>
      </c>
      <c r="Y1227" t="s">
        <v>775</v>
      </c>
      <c r="Z1227" t="s">
        <v>196</v>
      </c>
      <c r="AA1227" t="str">
        <f>IF(OR(VLOOKUP(Table1[[#This Row],[sheet]],Prg!$A$7:$F$31,6,FALSE)=Prg!$O$2,VLOOKUP(Table1[[#This Row],[sheet]],Prg!$A$7:$F$31,6,FALSE)=Prg!$O$3),"Yes","No")</f>
        <v>Yes</v>
      </c>
      <c r="AB1227">
        <v>2026</v>
      </c>
      <c r="AC1227">
        <v>19</v>
      </c>
      <c r="AD1227">
        <f ca="1">IF(ISERROR(VLOOKUP(Table1[[#This Row],[item]],INDIRECT("'"&amp;Table1[[#This Row],[sheet]]&amp;"'!$A$8:$T$42"),Table1[[#This Row],[r]],FALSE)),"",VLOOKUP(Table1[[#This Row],[item]],INDIRECT("'"&amp;Table1[[#This Row],[sheet]]&amp;"'!$A$8:$T$42"),Table1[[#This Row],[r]],FALSE))</f>
        <v>0</v>
      </c>
      <c r="AE1227">
        <f>IF(VLOOKUP(Table1[[#This Row],[sheet]],Prg!$A$7:$J$31,10,FALSE)="","",VLOOKUP(Table1[[#This Row],[sheet]],Prg!$A$7:$J$31,10,FALSE)*1)</f>
        <v>1</v>
      </c>
      <c r="AF1227" t="str">
        <f>VLOOKUP(Table1[[#This Row],[sheet]],Prg!$A$7:$J$31,5,FALSE)</f>
        <v>CONGO (DEMOCRATIC REP.)</v>
      </c>
      <c r="AG1227">
        <f>ROW()</f>
        <v>1227</v>
      </c>
    </row>
    <row r="1228" spans="24:33" hidden="1" x14ac:dyDescent="0.25">
      <c r="X1228">
        <v>7</v>
      </c>
      <c r="Y1228" t="s">
        <v>776</v>
      </c>
      <c r="Z1228" t="s">
        <v>605</v>
      </c>
      <c r="AA1228" t="str">
        <f>IF(OR(VLOOKUP(Table1[[#This Row],[sheet]],Prg!$A$7:$F$31,6,FALSE)=Prg!$O$2,VLOOKUP(Table1[[#This Row],[sheet]],Prg!$A$7:$F$31,6,FALSE)=Prg!$O$3),"Yes","No")</f>
        <v>Yes</v>
      </c>
      <c r="AB1228">
        <v>2026</v>
      </c>
      <c r="AC1228">
        <v>19</v>
      </c>
      <c r="AD1228">
        <f ca="1">IF(ISERROR(VLOOKUP(Table1[[#This Row],[item]],INDIRECT("'"&amp;Table1[[#This Row],[sheet]]&amp;"'!$A$8:$T$42"),Table1[[#This Row],[r]],FALSE)),"",VLOOKUP(Table1[[#This Row],[item]],INDIRECT("'"&amp;Table1[[#This Row],[sheet]]&amp;"'!$A$8:$T$42"),Table1[[#This Row],[r]],FALSE))</f>
        <v>3640</v>
      </c>
      <c r="AE1228">
        <f>IF(VLOOKUP(Table1[[#This Row],[sheet]],Prg!$A$7:$J$31,10,FALSE)="","",VLOOKUP(Table1[[#This Row],[sheet]],Prg!$A$7:$J$31,10,FALSE)*1)</f>
        <v>1</v>
      </c>
      <c r="AF1228" t="str">
        <f>VLOOKUP(Table1[[#This Row],[sheet]],Prg!$A$7:$J$31,5,FALSE)</f>
        <v>CONGO (DEMOCRATIC REP.)</v>
      </c>
      <c r="AG1228">
        <f>ROW()</f>
        <v>1228</v>
      </c>
    </row>
    <row r="1229" spans="24:33" hidden="1" x14ac:dyDescent="0.25">
      <c r="X1229">
        <v>7</v>
      </c>
      <c r="Y1229" t="s">
        <v>711</v>
      </c>
      <c r="Z1229" t="s">
        <v>200</v>
      </c>
      <c r="AA1229" t="str">
        <f>IF(OR(VLOOKUP(Table1[[#This Row],[sheet]],Prg!$A$7:$F$31,6,FALSE)=Prg!$O$2,VLOOKUP(Table1[[#This Row],[sheet]],Prg!$A$7:$F$31,6,FALSE)=Prg!$O$3),"Yes","No")</f>
        <v>Yes</v>
      </c>
      <c r="AB1229">
        <v>2026</v>
      </c>
      <c r="AC1229">
        <v>19</v>
      </c>
      <c r="AD1229">
        <f ca="1">IF(ISERROR(VLOOKUP(Table1[[#This Row],[item]],INDIRECT("'"&amp;Table1[[#This Row],[sheet]]&amp;"'!$A$8:$T$42"),Table1[[#This Row],[r]],FALSE)),"",VLOOKUP(Table1[[#This Row],[item]],INDIRECT("'"&amp;Table1[[#This Row],[sheet]]&amp;"'!$A$8:$T$42"),Table1[[#This Row],[r]],FALSE))</f>
        <v>232900.02454545457</v>
      </c>
      <c r="AE1229">
        <f>IF(VLOOKUP(Table1[[#This Row],[sheet]],Prg!$A$7:$J$31,10,FALSE)="","",VLOOKUP(Table1[[#This Row],[sheet]],Prg!$A$7:$J$31,10,FALSE)*1)</f>
        <v>1</v>
      </c>
      <c r="AF1229" t="str">
        <f>VLOOKUP(Table1[[#This Row],[sheet]],Prg!$A$7:$J$31,5,FALSE)</f>
        <v>CONGO (DEMOCRATIC REP.)</v>
      </c>
      <c r="AG1229">
        <f>ROW()</f>
        <v>1229</v>
      </c>
    </row>
    <row r="1230" spans="24:33" hidden="1" x14ac:dyDescent="0.25">
      <c r="X1230">
        <v>7</v>
      </c>
      <c r="Y1230" t="s">
        <v>777</v>
      </c>
      <c r="Z1230" t="s">
        <v>202</v>
      </c>
      <c r="AA1230" t="str">
        <f>IF(OR(VLOOKUP(Table1[[#This Row],[sheet]],Prg!$A$7:$F$31,6,FALSE)=Prg!$O$2,VLOOKUP(Table1[[#This Row],[sheet]],Prg!$A$7:$F$31,6,FALSE)=Prg!$O$3),"Yes","No")</f>
        <v>Yes</v>
      </c>
      <c r="AB1230">
        <v>2026</v>
      </c>
      <c r="AC1230">
        <v>19</v>
      </c>
      <c r="AD1230">
        <f ca="1">IF(ISERROR(VLOOKUP(Table1[[#This Row],[item]],INDIRECT("'"&amp;Table1[[#This Row],[sheet]]&amp;"'!$A$8:$T$42"),Table1[[#This Row],[r]],FALSE)),"",VLOOKUP(Table1[[#This Row],[item]],INDIRECT("'"&amp;Table1[[#This Row],[sheet]]&amp;"'!$A$8:$T$42"),Table1[[#This Row],[r]],FALSE))</f>
        <v>50700.4</v>
      </c>
      <c r="AE1230">
        <f>IF(VLOOKUP(Table1[[#This Row],[sheet]],Prg!$A$7:$J$31,10,FALSE)="","",VLOOKUP(Table1[[#This Row],[sheet]],Prg!$A$7:$J$31,10,FALSE)*1)</f>
        <v>1</v>
      </c>
      <c r="AF1230" t="str">
        <f>VLOOKUP(Table1[[#This Row],[sheet]],Prg!$A$7:$J$31,5,FALSE)</f>
        <v>CONGO (DEMOCRATIC REP.)</v>
      </c>
      <c r="AG1230">
        <f>ROW()</f>
        <v>1230</v>
      </c>
    </row>
    <row r="1231" spans="24:33" hidden="1" x14ac:dyDescent="0.25">
      <c r="X1231">
        <v>7</v>
      </c>
      <c r="Y1231" t="s">
        <v>778</v>
      </c>
      <c r="Z1231" t="s">
        <v>204</v>
      </c>
      <c r="AA1231" t="str">
        <f>IF(OR(VLOOKUP(Table1[[#This Row],[sheet]],Prg!$A$7:$F$31,6,FALSE)=Prg!$O$2,VLOOKUP(Table1[[#This Row],[sheet]],Prg!$A$7:$F$31,6,FALSE)=Prg!$O$3),"Yes","No")</f>
        <v>Yes</v>
      </c>
      <c r="AB1231">
        <v>2026</v>
      </c>
      <c r="AC1231">
        <v>19</v>
      </c>
      <c r="AD1231">
        <f ca="1">IF(ISERROR(VLOOKUP(Table1[[#This Row],[item]],INDIRECT("'"&amp;Table1[[#This Row],[sheet]]&amp;"'!$A$8:$T$42"),Table1[[#This Row],[r]],FALSE)),"",VLOOKUP(Table1[[#This Row],[item]],INDIRECT("'"&amp;Table1[[#This Row],[sheet]]&amp;"'!$A$8:$T$42"),Table1[[#This Row],[r]],FALSE))</f>
        <v>44190.832727272733</v>
      </c>
      <c r="AE1231">
        <f>IF(VLOOKUP(Table1[[#This Row],[sheet]],Prg!$A$7:$J$31,10,FALSE)="","",VLOOKUP(Table1[[#This Row],[sheet]],Prg!$A$7:$J$31,10,FALSE)*1)</f>
        <v>1</v>
      </c>
      <c r="AF1231" t="str">
        <f>VLOOKUP(Table1[[#This Row],[sheet]],Prg!$A$7:$J$31,5,FALSE)</f>
        <v>CONGO (DEMOCRATIC REP.)</v>
      </c>
      <c r="AG1231">
        <f>ROW()</f>
        <v>1231</v>
      </c>
    </row>
    <row r="1232" spans="24:33" hidden="1" x14ac:dyDescent="0.25">
      <c r="X1232">
        <v>7</v>
      </c>
      <c r="Y1232" t="s">
        <v>779</v>
      </c>
      <c r="Z1232" t="s">
        <v>605</v>
      </c>
      <c r="AA1232" t="str">
        <f>IF(OR(VLOOKUP(Table1[[#This Row],[sheet]],Prg!$A$7:$F$31,6,FALSE)=Prg!$O$2,VLOOKUP(Table1[[#This Row],[sheet]],Prg!$A$7:$F$31,6,FALSE)=Prg!$O$3),"Yes","No")</f>
        <v>Yes</v>
      </c>
      <c r="AB1232">
        <v>2026</v>
      </c>
      <c r="AC1232">
        <v>19</v>
      </c>
      <c r="AD1232">
        <f ca="1">IF(ISERROR(VLOOKUP(Table1[[#This Row],[item]],INDIRECT("'"&amp;Table1[[#This Row],[sheet]]&amp;"'!$A$8:$T$42"),Table1[[#This Row],[r]],FALSE)),"",VLOOKUP(Table1[[#This Row],[item]],INDIRECT("'"&amp;Table1[[#This Row],[sheet]]&amp;"'!$A$8:$T$42"),Table1[[#This Row],[r]],FALSE))</f>
        <v>138008.79181818184</v>
      </c>
      <c r="AE1232">
        <f>IF(VLOOKUP(Table1[[#This Row],[sheet]],Prg!$A$7:$J$31,10,FALSE)="","",VLOOKUP(Table1[[#This Row],[sheet]],Prg!$A$7:$J$31,10,FALSE)*1)</f>
        <v>1</v>
      </c>
      <c r="AF1232" t="str">
        <f>VLOOKUP(Table1[[#This Row],[sheet]],Prg!$A$7:$J$31,5,FALSE)</f>
        <v>CONGO (DEMOCRATIC REP.)</v>
      </c>
      <c r="AG1232">
        <f>ROW()</f>
        <v>1232</v>
      </c>
    </row>
    <row r="1233" spans="24:33" hidden="1" x14ac:dyDescent="0.25">
      <c r="X1233">
        <v>7</v>
      </c>
      <c r="Y1233" t="s">
        <v>712</v>
      </c>
      <c r="Z1233" t="s">
        <v>780</v>
      </c>
      <c r="AA1233" t="str">
        <f>IF(OR(VLOOKUP(Table1[[#This Row],[sheet]],Prg!$A$7:$F$31,6,FALSE)=Prg!$O$2,VLOOKUP(Table1[[#This Row],[sheet]],Prg!$A$7:$F$31,6,FALSE)=Prg!$O$3),"Yes","No")</f>
        <v>Yes</v>
      </c>
      <c r="AB1233">
        <v>2026</v>
      </c>
      <c r="AC1233">
        <v>19</v>
      </c>
      <c r="AD1233">
        <f ca="1">IF(ISERROR(VLOOKUP(Table1[[#This Row],[item]],INDIRECT("'"&amp;Table1[[#This Row],[sheet]]&amp;"'!$A$8:$T$42"),Table1[[#This Row],[r]],FALSE)),"",VLOOKUP(Table1[[#This Row],[item]],INDIRECT("'"&amp;Table1[[#This Row],[sheet]]&amp;"'!$A$8:$T$42"),Table1[[#This Row],[r]],FALSE))</f>
        <v>186722.44</v>
      </c>
      <c r="AE1233">
        <f>IF(VLOOKUP(Table1[[#This Row],[sheet]],Prg!$A$7:$J$31,10,FALSE)="","",VLOOKUP(Table1[[#This Row],[sheet]],Prg!$A$7:$J$31,10,FALSE)*1)</f>
        <v>1</v>
      </c>
      <c r="AF1233" t="str">
        <f>VLOOKUP(Table1[[#This Row],[sheet]],Prg!$A$7:$J$31,5,FALSE)</f>
        <v>CONGO (DEMOCRATIC REP.)</v>
      </c>
      <c r="AG1233">
        <f>ROW()</f>
        <v>1233</v>
      </c>
    </row>
    <row r="1234" spans="24:33" hidden="1" x14ac:dyDescent="0.25">
      <c r="X1234">
        <v>7</v>
      </c>
      <c r="Y1234" t="s">
        <v>781</v>
      </c>
      <c r="Z1234" t="s">
        <v>782</v>
      </c>
      <c r="AA1234" t="str">
        <f>IF(OR(VLOOKUP(Table1[[#This Row],[sheet]],Prg!$A$7:$F$31,6,FALSE)=Prg!$O$2,VLOOKUP(Table1[[#This Row],[sheet]],Prg!$A$7:$F$31,6,FALSE)=Prg!$O$3),"Yes","No")</f>
        <v>Yes</v>
      </c>
      <c r="AB1234">
        <v>2026</v>
      </c>
      <c r="AC1234">
        <v>19</v>
      </c>
      <c r="AD1234">
        <f ca="1">IF(ISERROR(VLOOKUP(Table1[[#This Row],[item]],INDIRECT("'"&amp;Table1[[#This Row],[sheet]]&amp;"'!$A$8:$T$42"),Table1[[#This Row],[r]],FALSE)),"",VLOOKUP(Table1[[#This Row],[item]],INDIRECT("'"&amp;Table1[[#This Row],[sheet]]&amp;"'!$A$8:$T$42"),Table1[[#This Row],[r]],FALSE))</f>
        <v>0</v>
      </c>
      <c r="AE1234">
        <f>IF(VLOOKUP(Table1[[#This Row],[sheet]],Prg!$A$7:$J$31,10,FALSE)="","",VLOOKUP(Table1[[#This Row],[sheet]],Prg!$A$7:$J$31,10,FALSE)*1)</f>
        <v>1</v>
      </c>
      <c r="AF1234" t="str">
        <f>VLOOKUP(Table1[[#This Row],[sheet]],Prg!$A$7:$J$31,5,FALSE)</f>
        <v>CONGO (DEMOCRATIC REP.)</v>
      </c>
      <c r="AG1234">
        <f>ROW()</f>
        <v>1234</v>
      </c>
    </row>
    <row r="1235" spans="24:33" hidden="1" x14ac:dyDescent="0.25">
      <c r="X1235">
        <v>7</v>
      </c>
      <c r="Y1235" t="s">
        <v>783</v>
      </c>
      <c r="Z1235" t="s">
        <v>784</v>
      </c>
      <c r="AA1235" t="str">
        <f>IF(OR(VLOOKUP(Table1[[#This Row],[sheet]],Prg!$A$7:$F$31,6,FALSE)=Prg!$O$2,VLOOKUP(Table1[[#This Row],[sheet]],Prg!$A$7:$F$31,6,FALSE)=Prg!$O$3),"Yes","No")</f>
        <v>Yes</v>
      </c>
      <c r="AB1235">
        <v>2026</v>
      </c>
      <c r="AC1235">
        <v>19</v>
      </c>
      <c r="AD1235">
        <f ca="1">IF(ISERROR(VLOOKUP(Table1[[#This Row],[item]],INDIRECT("'"&amp;Table1[[#This Row],[sheet]]&amp;"'!$A$8:$T$42"),Table1[[#This Row],[r]],FALSE)),"",VLOOKUP(Table1[[#This Row],[item]],INDIRECT("'"&amp;Table1[[#This Row],[sheet]]&amp;"'!$A$8:$T$42"),Table1[[#This Row],[r]],FALSE))</f>
        <v>22142.35</v>
      </c>
      <c r="AE1235">
        <f>IF(VLOOKUP(Table1[[#This Row],[sheet]],Prg!$A$7:$J$31,10,FALSE)="","",VLOOKUP(Table1[[#This Row],[sheet]],Prg!$A$7:$J$31,10,FALSE)*1)</f>
        <v>1</v>
      </c>
      <c r="AF1235" t="str">
        <f>VLOOKUP(Table1[[#This Row],[sheet]],Prg!$A$7:$J$31,5,FALSE)</f>
        <v>CONGO (DEMOCRATIC REP.)</v>
      </c>
      <c r="AG1235">
        <f>ROW()</f>
        <v>1235</v>
      </c>
    </row>
    <row r="1236" spans="24:33" hidden="1" x14ac:dyDescent="0.25">
      <c r="X1236">
        <v>7</v>
      </c>
      <c r="Y1236" t="s">
        <v>785</v>
      </c>
      <c r="Z1236" t="s">
        <v>786</v>
      </c>
      <c r="AA1236" t="str">
        <f>IF(OR(VLOOKUP(Table1[[#This Row],[sheet]],Prg!$A$7:$F$31,6,FALSE)=Prg!$O$2,VLOOKUP(Table1[[#This Row],[sheet]],Prg!$A$7:$F$31,6,FALSE)=Prg!$O$3),"Yes","No")</f>
        <v>Yes</v>
      </c>
      <c r="AB1236">
        <v>2026</v>
      </c>
      <c r="AC1236">
        <v>19</v>
      </c>
      <c r="AD1236">
        <f ca="1">IF(ISERROR(VLOOKUP(Table1[[#This Row],[item]],INDIRECT("'"&amp;Table1[[#This Row],[sheet]]&amp;"'!$A$8:$T$42"),Table1[[#This Row],[r]],FALSE)),"",VLOOKUP(Table1[[#This Row],[item]],INDIRECT("'"&amp;Table1[[#This Row],[sheet]]&amp;"'!$A$8:$T$42"),Table1[[#This Row],[r]],FALSE))</f>
        <v>164580.09</v>
      </c>
      <c r="AE1236">
        <f>IF(VLOOKUP(Table1[[#This Row],[sheet]],Prg!$A$7:$J$31,10,FALSE)="","",VLOOKUP(Table1[[#This Row],[sheet]],Prg!$A$7:$J$31,10,FALSE)*1)</f>
        <v>1</v>
      </c>
      <c r="AF1236" t="str">
        <f>VLOOKUP(Table1[[#This Row],[sheet]],Prg!$A$7:$J$31,5,FALSE)</f>
        <v>CONGO (DEMOCRATIC REP.)</v>
      </c>
      <c r="AG1236">
        <f>ROW()</f>
        <v>1236</v>
      </c>
    </row>
    <row r="1237" spans="24:33" hidden="1" x14ac:dyDescent="0.25">
      <c r="X1237">
        <v>7</v>
      </c>
      <c r="Y1237" t="s">
        <v>787</v>
      </c>
      <c r="Z1237" t="s">
        <v>633</v>
      </c>
      <c r="AA1237" t="str">
        <f>IF(OR(VLOOKUP(Table1[[#This Row],[sheet]],Prg!$A$7:$F$31,6,FALSE)=Prg!$O$2,VLOOKUP(Table1[[#This Row],[sheet]],Prg!$A$7:$F$31,6,FALSE)=Prg!$O$3),"Yes","No")</f>
        <v>Yes</v>
      </c>
      <c r="AB1237">
        <v>2026</v>
      </c>
      <c r="AC1237">
        <v>19</v>
      </c>
      <c r="AD1237">
        <f ca="1">IF(ISERROR(VLOOKUP(Table1[[#This Row],[item]],INDIRECT("'"&amp;Table1[[#This Row],[sheet]]&amp;"'!$A$8:$T$42"),Table1[[#This Row],[r]],FALSE)),"",VLOOKUP(Table1[[#This Row],[item]],INDIRECT("'"&amp;Table1[[#This Row],[sheet]]&amp;"'!$A$8:$T$42"),Table1[[#This Row],[r]],FALSE))</f>
        <v>0</v>
      </c>
      <c r="AE1237">
        <f>IF(VLOOKUP(Table1[[#This Row],[sheet]],Prg!$A$7:$J$31,10,FALSE)="","",VLOOKUP(Table1[[#This Row],[sheet]],Prg!$A$7:$J$31,10,FALSE)*1)</f>
        <v>1</v>
      </c>
      <c r="AF1237" t="str">
        <f>VLOOKUP(Table1[[#This Row],[sheet]],Prg!$A$7:$J$31,5,FALSE)</f>
        <v>CONGO (DEMOCRATIC REP.)</v>
      </c>
      <c r="AG1237">
        <f>ROW()</f>
        <v>1237</v>
      </c>
    </row>
    <row r="1238" spans="24:33" hidden="1" x14ac:dyDescent="0.25">
      <c r="X1238">
        <v>7</v>
      </c>
      <c r="Y1238" t="s">
        <v>753</v>
      </c>
      <c r="Z1238" t="s">
        <v>162</v>
      </c>
      <c r="AA1238" t="str">
        <f>IF(OR(VLOOKUP(Table1[[#This Row],[sheet]],Prg!$A$7:$F$31,6,FALSE)=Prg!$O$2,VLOOKUP(Table1[[#This Row],[sheet]],Prg!$A$7:$F$31,6,FALSE)=Prg!$O$3),"Yes","No")</f>
        <v>Yes</v>
      </c>
      <c r="AB1238" t="s">
        <v>78</v>
      </c>
      <c r="AC1238">
        <v>20</v>
      </c>
      <c r="AD1238">
        <f ca="1">IF(ISERROR(VLOOKUP(Table1[[#This Row],[item]],INDIRECT("'"&amp;Table1[[#This Row],[sheet]]&amp;"'!$A$8:$T$42"),Table1[[#This Row],[r]],FALSE)),"",VLOOKUP(Table1[[#This Row],[item]],INDIRECT("'"&amp;Table1[[#This Row],[sheet]]&amp;"'!$A$8:$T$42"),Table1[[#This Row],[r]],FALSE))</f>
        <v>1385637.5890909098</v>
      </c>
      <c r="AE1238">
        <f>IF(VLOOKUP(Table1[[#This Row],[sheet]],Prg!$A$7:$J$31,10,FALSE)="","",VLOOKUP(Table1[[#This Row],[sheet]],Prg!$A$7:$J$31,10,FALSE)*1)</f>
        <v>1</v>
      </c>
      <c r="AF1238" t="str">
        <f>VLOOKUP(Table1[[#This Row],[sheet]],Prg!$A$7:$J$31,5,FALSE)</f>
        <v>CONGO (DEMOCRATIC REP.)</v>
      </c>
      <c r="AG1238">
        <f>ROW()</f>
        <v>1238</v>
      </c>
    </row>
    <row r="1239" spans="24:33" hidden="1" x14ac:dyDescent="0.25">
      <c r="X1239">
        <v>7</v>
      </c>
      <c r="Y1239" t="s">
        <v>754</v>
      </c>
      <c r="Z1239" t="s">
        <v>164</v>
      </c>
      <c r="AA1239" t="str">
        <f>IF(OR(VLOOKUP(Table1[[#This Row],[sheet]],Prg!$A$7:$F$31,6,FALSE)=Prg!$O$2,VLOOKUP(Table1[[#This Row],[sheet]],Prg!$A$7:$F$31,6,FALSE)=Prg!$O$3),"Yes","No")</f>
        <v>Yes</v>
      </c>
      <c r="AB1239" t="s">
        <v>78</v>
      </c>
      <c r="AC1239">
        <v>20</v>
      </c>
      <c r="AD1239">
        <f ca="1">IF(ISERROR(VLOOKUP(Table1[[#This Row],[item]],INDIRECT("'"&amp;Table1[[#This Row],[sheet]]&amp;"'!$A$8:$T$42"),Table1[[#This Row],[r]],FALSE)),"",VLOOKUP(Table1[[#This Row],[item]],INDIRECT("'"&amp;Table1[[#This Row],[sheet]]&amp;"'!$A$8:$T$42"),Table1[[#This Row],[r]],FALSE))</f>
        <v>35596.619999999995</v>
      </c>
      <c r="AE1239">
        <f>IF(VLOOKUP(Table1[[#This Row],[sheet]],Prg!$A$7:$J$31,10,FALSE)="","",VLOOKUP(Table1[[#This Row],[sheet]],Prg!$A$7:$J$31,10,FALSE)*1)</f>
        <v>1</v>
      </c>
      <c r="AF1239" t="str">
        <f>VLOOKUP(Table1[[#This Row],[sheet]],Prg!$A$7:$J$31,5,FALSE)</f>
        <v>CONGO (DEMOCRATIC REP.)</v>
      </c>
      <c r="AG1239">
        <f>ROW()</f>
        <v>1239</v>
      </c>
    </row>
    <row r="1240" spans="24:33" hidden="1" x14ac:dyDescent="0.25">
      <c r="X1240">
        <v>7</v>
      </c>
      <c r="Y1240" t="s">
        <v>755</v>
      </c>
      <c r="Z1240" t="s">
        <v>166</v>
      </c>
      <c r="AA1240" t="str">
        <f>IF(OR(VLOOKUP(Table1[[#This Row],[sheet]],Prg!$A$7:$F$31,6,FALSE)=Prg!$O$2,VLOOKUP(Table1[[#This Row],[sheet]],Prg!$A$7:$F$31,6,FALSE)=Prg!$O$3),"Yes","No")</f>
        <v>Yes</v>
      </c>
      <c r="AB1240" t="s">
        <v>78</v>
      </c>
      <c r="AC1240">
        <v>20</v>
      </c>
      <c r="AD1240">
        <f ca="1">IF(ISERROR(VLOOKUP(Table1[[#This Row],[item]],INDIRECT("'"&amp;Table1[[#This Row],[sheet]]&amp;"'!$A$8:$T$42"),Table1[[#This Row],[r]],FALSE)),"",VLOOKUP(Table1[[#This Row],[item]],INDIRECT("'"&amp;Table1[[#This Row],[sheet]]&amp;"'!$A$8:$T$42"),Table1[[#This Row],[r]],FALSE))</f>
        <v>1008610.9690909098</v>
      </c>
      <c r="AE1240">
        <f>IF(VLOOKUP(Table1[[#This Row],[sheet]],Prg!$A$7:$J$31,10,FALSE)="","",VLOOKUP(Table1[[#This Row],[sheet]],Prg!$A$7:$J$31,10,FALSE)*1)</f>
        <v>1</v>
      </c>
      <c r="AF1240" t="str">
        <f>VLOOKUP(Table1[[#This Row],[sheet]],Prg!$A$7:$J$31,5,FALSE)</f>
        <v>CONGO (DEMOCRATIC REP.)</v>
      </c>
      <c r="AG1240">
        <f>ROW()</f>
        <v>1240</v>
      </c>
    </row>
    <row r="1241" spans="24:33" hidden="1" x14ac:dyDescent="0.25">
      <c r="X1241">
        <v>7</v>
      </c>
      <c r="Y1241" t="s">
        <v>756</v>
      </c>
      <c r="Z1241" t="s">
        <v>757</v>
      </c>
      <c r="AA1241" t="str">
        <f>IF(OR(VLOOKUP(Table1[[#This Row],[sheet]],Prg!$A$7:$F$31,6,FALSE)=Prg!$O$2,VLOOKUP(Table1[[#This Row],[sheet]],Prg!$A$7:$F$31,6,FALSE)=Prg!$O$3),"Yes","No")</f>
        <v>Yes</v>
      </c>
      <c r="AB1241" t="s">
        <v>78</v>
      </c>
      <c r="AC1241">
        <v>20</v>
      </c>
      <c r="AD1241">
        <f ca="1">IF(ISERROR(VLOOKUP(Table1[[#This Row],[item]],INDIRECT("'"&amp;Table1[[#This Row],[sheet]]&amp;"'!$A$8:$T$42"),Table1[[#This Row],[r]],FALSE)),"",VLOOKUP(Table1[[#This Row],[item]],INDIRECT("'"&amp;Table1[[#This Row],[sheet]]&amp;"'!$A$8:$T$42"),Table1[[#This Row],[r]],FALSE))</f>
        <v>341430</v>
      </c>
      <c r="AE1241">
        <f>IF(VLOOKUP(Table1[[#This Row],[sheet]],Prg!$A$7:$J$31,10,FALSE)="","",VLOOKUP(Table1[[#This Row],[sheet]],Prg!$A$7:$J$31,10,FALSE)*1)</f>
        <v>1</v>
      </c>
      <c r="AF1241" t="str">
        <f>VLOOKUP(Table1[[#This Row],[sheet]],Prg!$A$7:$J$31,5,FALSE)</f>
        <v>CONGO (DEMOCRATIC REP.)</v>
      </c>
      <c r="AG1241">
        <f>ROW()</f>
        <v>1241</v>
      </c>
    </row>
    <row r="1242" spans="24:33" hidden="1" x14ac:dyDescent="0.25">
      <c r="X1242">
        <v>7</v>
      </c>
      <c r="Y1242" t="s">
        <v>758</v>
      </c>
      <c r="Z1242" t="s">
        <v>170</v>
      </c>
      <c r="AA1242" t="str">
        <f>IF(OR(VLOOKUP(Table1[[#This Row],[sheet]],Prg!$A$7:$F$31,6,FALSE)=Prg!$O$2,VLOOKUP(Table1[[#This Row],[sheet]],Prg!$A$7:$F$31,6,FALSE)=Prg!$O$3),"Yes","No")</f>
        <v>Yes</v>
      </c>
      <c r="AB1242" t="s">
        <v>78</v>
      </c>
      <c r="AC1242">
        <v>20</v>
      </c>
      <c r="AD1242">
        <f ca="1">IF(ISERROR(VLOOKUP(Table1[[#This Row],[item]],INDIRECT("'"&amp;Table1[[#This Row],[sheet]]&amp;"'!$A$8:$T$42"),Table1[[#This Row],[r]],FALSE)),"",VLOOKUP(Table1[[#This Row],[item]],INDIRECT("'"&amp;Table1[[#This Row],[sheet]]&amp;"'!$A$8:$T$42"),Table1[[#This Row],[r]],FALSE))</f>
        <v>47085.9</v>
      </c>
      <c r="AE1242">
        <f>IF(VLOOKUP(Table1[[#This Row],[sheet]],Prg!$A$7:$J$31,10,FALSE)="","",VLOOKUP(Table1[[#This Row],[sheet]],Prg!$A$7:$J$31,10,FALSE)*1)</f>
        <v>1</v>
      </c>
      <c r="AF1242" t="str">
        <f>VLOOKUP(Table1[[#This Row],[sheet]],Prg!$A$7:$J$31,5,FALSE)</f>
        <v>CONGO (DEMOCRATIC REP.)</v>
      </c>
      <c r="AG1242">
        <f>ROW()</f>
        <v>1242</v>
      </c>
    </row>
    <row r="1243" spans="24:33" hidden="1" x14ac:dyDescent="0.25">
      <c r="X1243">
        <v>7</v>
      </c>
      <c r="Y1243" t="s">
        <v>759</v>
      </c>
      <c r="Z1243" t="s">
        <v>172</v>
      </c>
      <c r="AA1243" t="str">
        <f>IF(OR(VLOOKUP(Table1[[#This Row],[sheet]],Prg!$A$7:$F$31,6,FALSE)=Prg!$O$2,VLOOKUP(Table1[[#This Row],[sheet]],Prg!$A$7:$F$31,6,FALSE)=Prg!$O$3),"Yes","No")</f>
        <v>Yes</v>
      </c>
      <c r="AB1243" t="s">
        <v>78</v>
      </c>
      <c r="AC1243">
        <v>20</v>
      </c>
      <c r="AD1243">
        <f ca="1">IF(ISERROR(VLOOKUP(Table1[[#This Row],[item]],INDIRECT("'"&amp;Table1[[#This Row],[sheet]]&amp;"'!$A$8:$T$42"),Table1[[#This Row],[r]],FALSE)),"",VLOOKUP(Table1[[#This Row],[item]],INDIRECT("'"&amp;Table1[[#This Row],[sheet]]&amp;"'!$A$8:$T$42"),Table1[[#This Row],[r]],FALSE))</f>
        <v>0</v>
      </c>
      <c r="AE1243">
        <f>IF(VLOOKUP(Table1[[#This Row],[sheet]],Prg!$A$7:$J$31,10,FALSE)="","",VLOOKUP(Table1[[#This Row],[sheet]],Prg!$A$7:$J$31,10,FALSE)*1)</f>
        <v>1</v>
      </c>
      <c r="AF1243" t="str">
        <f>VLOOKUP(Table1[[#This Row],[sheet]],Prg!$A$7:$J$31,5,FALSE)</f>
        <v>CONGO (DEMOCRATIC REP.)</v>
      </c>
      <c r="AG1243">
        <f>ROW()</f>
        <v>1243</v>
      </c>
    </row>
    <row r="1244" spans="24:33" hidden="1" x14ac:dyDescent="0.25">
      <c r="X1244">
        <v>7</v>
      </c>
      <c r="Y1244" t="s">
        <v>760</v>
      </c>
      <c r="Z1244" t="s">
        <v>174</v>
      </c>
      <c r="AA1244" t="str">
        <f>IF(OR(VLOOKUP(Table1[[#This Row],[sheet]],Prg!$A$7:$F$31,6,FALSE)=Prg!$O$2,VLOOKUP(Table1[[#This Row],[sheet]],Prg!$A$7:$F$31,6,FALSE)=Prg!$O$3),"Yes","No")</f>
        <v>Yes</v>
      </c>
      <c r="AB1244" t="s">
        <v>78</v>
      </c>
      <c r="AC1244">
        <v>20</v>
      </c>
      <c r="AD1244">
        <f ca="1">IF(ISERROR(VLOOKUP(Table1[[#This Row],[item]],INDIRECT("'"&amp;Table1[[#This Row],[sheet]]&amp;"'!$A$8:$T$42"),Table1[[#This Row],[r]],FALSE)),"",VLOOKUP(Table1[[#This Row],[item]],INDIRECT("'"&amp;Table1[[#This Row],[sheet]]&amp;"'!$A$8:$T$42"),Table1[[#This Row],[r]],FALSE))</f>
        <v>35835.9</v>
      </c>
      <c r="AE1244">
        <f>IF(VLOOKUP(Table1[[#This Row],[sheet]],Prg!$A$7:$J$31,10,FALSE)="","",VLOOKUP(Table1[[#This Row],[sheet]],Prg!$A$7:$J$31,10,FALSE)*1)</f>
        <v>1</v>
      </c>
      <c r="AF1244" t="str">
        <f>VLOOKUP(Table1[[#This Row],[sheet]],Prg!$A$7:$J$31,5,FALSE)</f>
        <v>CONGO (DEMOCRATIC REP.)</v>
      </c>
      <c r="AG1244">
        <f>ROW()</f>
        <v>1244</v>
      </c>
    </row>
    <row r="1245" spans="24:33" hidden="1" x14ac:dyDescent="0.25">
      <c r="X1245">
        <v>7</v>
      </c>
      <c r="Y1245" t="s">
        <v>761</v>
      </c>
      <c r="Z1245" t="s">
        <v>762</v>
      </c>
      <c r="AA1245" t="str">
        <f>IF(OR(VLOOKUP(Table1[[#This Row],[sheet]],Prg!$A$7:$F$31,6,FALSE)=Prg!$O$2,VLOOKUP(Table1[[#This Row],[sheet]],Prg!$A$7:$F$31,6,FALSE)=Prg!$O$3),"Yes","No")</f>
        <v>Yes</v>
      </c>
      <c r="AB1245" t="s">
        <v>78</v>
      </c>
      <c r="AC1245">
        <v>20</v>
      </c>
      <c r="AD1245">
        <f ca="1">IF(ISERROR(VLOOKUP(Table1[[#This Row],[item]],INDIRECT("'"&amp;Table1[[#This Row],[sheet]]&amp;"'!$A$8:$T$42"),Table1[[#This Row],[r]],FALSE)),"",VLOOKUP(Table1[[#This Row],[item]],INDIRECT("'"&amp;Table1[[#This Row],[sheet]]&amp;"'!$A$8:$T$42"),Table1[[#This Row],[r]],FALSE))</f>
        <v>11250</v>
      </c>
      <c r="AE1245">
        <f>IF(VLOOKUP(Table1[[#This Row],[sheet]],Prg!$A$7:$J$31,10,FALSE)="","",VLOOKUP(Table1[[#This Row],[sheet]],Prg!$A$7:$J$31,10,FALSE)*1)</f>
        <v>1</v>
      </c>
      <c r="AF1245" t="str">
        <f>VLOOKUP(Table1[[#This Row],[sheet]],Prg!$A$7:$J$31,5,FALSE)</f>
        <v>CONGO (DEMOCRATIC REP.)</v>
      </c>
      <c r="AG1245">
        <f>ROW()</f>
        <v>1245</v>
      </c>
    </row>
    <row r="1246" spans="24:33" hidden="1" x14ac:dyDescent="0.25">
      <c r="X1246">
        <v>7</v>
      </c>
      <c r="Y1246" t="s">
        <v>763</v>
      </c>
      <c r="Z1246" t="s">
        <v>178</v>
      </c>
      <c r="AA1246" t="str">
        <f>IF(OR(VLOOKUP(Table1[[#This Row],[sheet]],Prg!$A$7:$F$31,6,FALSE)=Prg!$O$2,VLOOKUP(Table1[[#This Row],[sheet]],Prg!$A$7:$F$31,6,FALSE)=Prg!$O$3),"Yes","No")</f>
        <v>Yes</v>
      </c>
      <c r="AB1246" t="s">
        <v>78</v>
      </c>
      <c r="AC1246">
        <v>20</v>
      </c>
      <c r="AD1246">
        <f ca="1">IF(ISERROR(VLOOKUP(Table1[[#This Row],[item]],INDIRECT("'"&amp;Table1[[#This Row],[sheet]]&amp;"'!$A$8:$T$42"),Table1[[#This Row],[r]],FALSE)),"",VLOOKUP(Table1[[#This Row],[item]],INDIRECT("'"&amp;Table1[[#This Row],[sheet]]&amp;"'!$A$8:$T$42"),Table1[[#This Row],[r]],FALSE))</f>
        <v>787350.55999999994</v>
      </c>
      <c r="AE1246">
        <f>IF(VLOOKUP(Table1[[#This Row],[sheet]],Prg!$A$7:$J$31,10,FALSE)="","",VLOOKUP(Table1[[#This Row],[sheet]],Prg!$A$7:$J$31,10,FALSE)*1)</f>
        <v>1</v>
      </c>
      <c r="AF1246" t="str">
        <f>VLOOKUP(Table1[[#This Row],[sheet]],Prg!$A$7:$J$31,5,FALSE)</f>
        <v>CONGO (DEMOCRATIC REP.)</v>
      </c>
      <c r="AG1246">
        <f>ROW()</f>
        <v>1246</v>
      </c>
    </row>
    <row r="1247" spans="24:33" hidden="1" x14ac:dyDescent="0.25">
      <c r="X1247">
        <v>7</v>
      </c>
      <c r="Y1247" t="s">
        <v>764</v>
      </c>
      <c r="Z1247" t="s">
        <v>109</v>
      </c>
      <c r="AA1247" t="str">
        <f>IF(OR(VLOOKUP(Table1[[#This Row],[sheet]],Prg!$A$7:$F$31,6,FALSE)=Prg!$O$2,VLOOKUP(Table1[[#This Row],[sheet]],Prg!$A$7:$F$31,6,FALSE)=Prg!$O$3),"Yes","No")</f>
        <v>Yes</v>
      </c>
      <c r="AB1247" t="s">
        <v>78</v>
      </c>
      <c r="AC1247">
        <v>20</v>
      </c>
      <c r="AD1247">
        <f ca="1">IF(ISERROR(VLOOKUP(Table1[[#This Row],[item]],INDIRECT("'"&amp;Table1[[#This Row],[sheet]]&amp;"'!$A$8:$T$42"),Table1[[#This Row],[r]],FALSE)),"",VLOOKUP(Table1[[#This Row],[item]],INDIRECT("'"&amp;Table1[[#This Row],[sheet]]&amp;"'!$A$8:$T$42"),Table1[[#This Row],[r]],FALSE))</f>
        <v>3200</v>
      </c>
      <c r="AE1247">
        <f>IF(VLOOKUP(Table1[[#This Row],[sheet]],Prg!$A$7:$J$31,10,FALSE)="","",VLOOKUP(Table1[[#This Row],[sheet]],Prg!$A$7:$J$31,10,FALSE)*1)</f>
        <v>1</v>
      </c>
      <c r="AF1247" t="str">
        <f>VLOOKUP(Table1[[#This Row],[sheet]],Prg!$A$7:$J$31,5,FALSE)</f>
        <v>CONGO (DEMOCRATIC REP.)</v>
      </c>
      <c r="AG1247">
        <f>ROW()</f>
        <v>1247</v>
      </c>
    </row>
    <row r="1248" spans="24:33" hidden="1" x14ac:dyDescent="0.25">
      <c r="X1248">
        <v>7</v>
      </c>
      <c r="Y1248" t="s">
        <v>765</v>
      </c>
      <c r="Z1248" t="s">
        <v>117</v>
      </c>
      <c r="AA1248" t="str">
        <f>IF(OR(VLOOKUP(Table1[[#This Row],[sheet]],Prg!$A$7:$F$31,6,FALSE)=Prg!$O$2,VLOOKUP(Table1[[#This Row],[sheet]],Prg!$A$7:$F$31,6,FALSE)=Prg!$O$3),"Yes","No")</f>
        <v>Yes</v>
      </c>
      <c r="AB1248" t="s">
        <v>78</v>
      </c>
      <c r="AC1248">
        <v>20</v>
      </c>
      <c r="AD1248">
        <f ca="1">IF(ISERROR(VLOOKUP(Table1[[#This Row],[item]],INDIRECT("'"&amp;Table1[[#This Row],[sheet]]&amp;"'!$A$8:$T$42"),Table1[[#This Row],[r]],FALSE)),"",VLOOKUP(Table1[[#This Row],[item]],INDIRECT("'"&amp;Table1[[#This Row],[sheet]]&amp;"'!$A$8:$T$42"),Table1[[#This Row],[r]],FALSE))</f>
        <v>203218.36</v>
      </c>
      <c r="AE1248">
        <f>IF(VLOOKUP(Table1[[#This Row],[sheet]],Prg!$A$7:$J$31,10,FALSE)="","",VLOOKUP(Table1[[#This Row],[sheet]],Prg!$A$7:$J$31,10,FALSE)*1)</f>
        <v>1</v>
      </c>
      <c r="AF1248" t="str">
        <f>VLOOKUP(Table1[[#This Row],[sheet]],Prg!$A$7:$J$31,5,FALSE)</f>
        <v>CONGO (DEMOCRATIC REP.)</v>
      </c>
      <c r="AG1248">
        <f>ROW()</f>
        <v>1248</v>
      </c>
    </row>
    <row r="1249" spans="24:33" hidden="1" x14ac:dyDescent="0.25">
      <c r="X1249">
        <v>7</v>
      </c>
      <c r="Y1249" t="s">
        <v>766</v>
      </c>
      <c r="Z1249" t="s">
        <v>767</v>
      </c>
      <c r="AA1249" t="str">
        <f>IF(OR(VLOOKUP(Table1[[#This Row],[sheet]],Prg!$A$7:$F$31,6,FALSE)=Prg!$O$2,VLOOKUP(Table1[[#This Row],[sheet]],Prg!$A$7:$F$31,6,FALSE)=Prg!$O$3),"Yes","No")</f>
        <v>Yes</v>
      </c>
      <c r="AB1249" t="s">
        <v>78</v>
      </c>
      <c r="AC1249">
        <v>20</v>
      </c>
      <c r="AD1249">
        <f ca="1">IF(ISERROR(VLOOKUP(Table1[[#This Row],[item]],INDIRECT("'"&amp;Table1[[#This Row],[sheet]]&amp;"'!$A$8:$T$42"),Table1[[#This Row],[r]],FALSE)),"",VLOOKUP(Table1[[#This Row],[item]],INDIRECT("'"&amp;Table1[[#This Row],[sheet]]&amp;"'!$A$8:$T$42"),Table1[[#This Row],[r]],FALSE))</f>
        <v>580932.19999999995</v>
      </c>
      <c r="AE1249">
        <f>IF(VLOOKUP(Table1[[#This Row],[sheet]],Prg!$A$7:$J$31,10,FALSE)="","",VLOOKUP(Table1[[#This Row],[sheet]],Prg!$A$7:$J$31,10,FALSE)*1)</f>
        <v>1</v>
      </c>
      <c r="AF1249" t="str">
        <f>VLOOKUP(Table1[[#This Row],[sheet]],Prg!$A$7:$J$31,5,FALSE)</f>
        <v>CONGO (DEMOCRATIC REP.)</v>
      </c>
      <c r="AG1249">
        <f>ROW()</f>
        <v>1249</v>
      </c>
    </row>
    <row r="1250" spans="24:33" hidden="1" x14ac:dyDescent="0.25">
      <c r="X1250">
        <v>7</v>
      </c>
      <c r="Y1250" t="s">
        <v>768</v>
      </c>
      <c r="Z1250" t="s">
        <v>182</v>
      </c>
      <c r="AA1250" t="str">
        <f>IF(OR(VLOOKUP(Table1[[#This Row],[sheet]],Prg!$A$7:$F$31,6,FALSE)=Prg!$O$2,VLOOKUP(Table1[[#This Row],[sheet]],Prg!$A$7:$F$31,6,FALSE)=Prg!$O$3),"Yes","No")</f>
        <v>Yes</v>
      </c>
      <c r="AB1250" t="s">
        <v>78</v>
      </c>
      <c r="AC1250">
        <v>20</v>
      </c>
      <c r="AD1250">
        <f ca="1">IF(ISERROR(VLOOKUP(Table1[[#This Row],[item]],INDIRECT("'"&amp;Table1[[#This Row],[sheet]]&amp;"'!$A$8:$T$42"),Table1[[#This Row],[r]],FALSE)),"",VLOOKUP(Table1[[#This Row],[item]],INDIRECT("'"&amp;Table1[[#This Row],[sheet]]&amp;"'!$A$8:$T$42"),Table1[[#This Row],[r]],FALSE))</f>
        <v>20000</v>
      </c>
      <c r="AE1250">
        <f>IF(VLOOKUP(Table1[[#This Row],[sheet]],Prg!$A$7:$J$31,10,FALSE)="","",VLOOKUP(Table1[[#This Row],[sheet]],Prg!$A$7:$J$31,10,FALSE)*1)</f>
        <v>1</v>
      </c>
      <c r="AF1250" t="str">
        <f>VLOOKUP(Table1[[#This Row],[sheet]],Prg!$A$7:$J$31,5,FALSE)</f>
        <v>CONGO (DEMOCRATIC REP.)</v>
      </c>
      <c r="AG1250">
        <f>ROW()</f>
        <v>1250</v>
      </c>
    </row>
    <row r="1251" spans="24:33" hidden="1" x14ac:dyDescent="0.25">
      <c r="X1251">
        <v>7</v>
      </c>
      <c r="Y1251" t="s">
        <v>769</v>
      </c>
      <c r="Z1251" t="s">
        <v>184</v>
      </c>
      <c r="AA1251" t="str">
        <f>IF(OR(VLOOKUP(Table1[[#This Row],[sheet]],Prg!$A$7:$F$31,6,FALSE)=Prg!$O$2,VLOOKUP(Table1[[#This Row],[sheet]],Prg!$A$7:$F$31,6,FALSE)=Prg!$O$3),"Yes","No")</f>
        <v>Yes</v>
      </c>
      <c r="AB1251" t="s">
        <v>78</v>
      </c>
      <c r="AC1251">
        <v>20</v>
      </c>
      <c r="AD1251">
        <f ca="1">IF(ISERROR(VLOOKUP(Table1[[#This Row],[item]],INDIRECT("'"&amp;Table1[[#This Row],[sheet]]&amp;"'!$A$8:$T$42"),Table1[[#This Row],[r]],FALSE)),"",VLOOKUP(Table1[[#This Row],[item]],INDIRECT("'"&amp;Table1[[#This Row],[sheet]]&amp;"'!$A$8:$T$42"),Table1[[#This Row],[r]],FALSE))</f>
        <v>0</v>
      </c>
      <c r="AE1251">
        <f>IF(VLOOKUP(Table1[[#This Row],[sheet]],Prg!$A$7:$J$31,10,FALSE)="","",VLOOKUP(Table1[[#This Row],[sheet]],Prg!$A$7:$J$31,10,FALSE)*1)</f>
        <v>1</v>
      </c>
      <c r="AF1251" t="str">
        <f>VLOOKUP(Table1[[#This Row],[sheet]],Prg!$A$7:$J$31,5,FALSE)</f>
        <v>CONGO (DEMOCRATIC REP.)</v>
      </c>
      <c r="AG1251">
        <f>ROW()</f>
        <v>1251</v>
      </c>
    </row>
    <row r="1252" spans="24:33" hidden="1" x14ac:dyDescent="0.25">
      <c r="X1252">
        <v>7</v>
      </c>
      <c r="Y1252" t="s">
        <v>770</v>
      </c>
      <c r="Z1252" t="s">
        <v>186</v>
      </c>
      <c r="AA1252" t="str">
        <f>IF(OR(VLOOKUP(Table1[[#This Row],[sheet]],Prg!$A$7:$F$31,6,FALSE)=Prg!$O$2,VLOOKUP(Table1[[#This Row],[sheet]],Prg!$A$7:$F$31,6,FALSE)=Prg!$O$3),"Yes","No")</f>
        <v>Yes</v>
      </c>
      <c r="AB1252" t="s">
        <v>78</v>
      </c>
      <c r="AC1252">
        <v>20</v>
      </c>
      <c r="AD1252">
        <f ca="1">IF(ISERROR(VLOOKUP(Table1[[#This Row],[item]],INDIRECT("'"&amp;Table1[[#This Row],[sheet]]&amp;"'!$A$8:$T$42"),Table1[[#This Row],[r]],FALSE)),"",VLOOKUP(Table1[[#This Row],[item]],INDIRECT("'"&amp;Table1[[#This Row],[sheet]]&amp;"'!$A$8:$T$42"),Table1[[#This Row],[r]],FALSE))</f>
        <v>20000</v>
      </c>
      <c r="AE1252">
        <f>IF(VLOOKUP(Table1[[#This Row],[sheet]],Prg!$A$7:$J$31,10,FALSE)="","",VLOOKUP(Table1[[#This Row],[sheet]],Prg!$A$7:$J$31,10,FALSE)*1)</f>
        <v>1</v>
      </c>
      <c r="AF1252" t="str">
        <f>VLOOKUP(Table1[[#This Row],[sheet]],Prg!$A$7:$J$31,5,FALSE)</f>
        <v>CONGO (DEMOCRATIC REP.)</v>
      </c>
      <c r="AG1252">
        <f>ROW()</f>
        <v>1252</v>
      </c>
    </row>
    <row r="1253" spans="24:33" hidden="1" x14ac:dyDescent="0.25">
      <c r="X1253">
        <v>7</v>
      </c>
      <c r="Y1253" t="s">
        <v>771</v>
      </c>
      <c r="Z1253" t="s">
        <v>772</v>
      </c>
      <c r="AA1253" t="str">
        <f>IF(OR(VLOOKUP(Table1[[#This Row],[sheet]],Prg!$A$7:$F$31,6,FALSE)=Prg!$O$2,VLOOKUP(Table1[[#This Row],[sheet]],Prg!$A$7:$F$31,6,FALSE)=Prg!$O$3),"Yes","No")</f>
        <v>Yes</v>
      </c>
      <c r="AB1253" t="s">
        <v>78</v>
      </c>
      <c r="AC1253">
        <v>20</v>
      </c>
      <c r="AD1253">
        <f ca="1">IF(ISERROR(VLOOKUP(Table1[[#This Row],[item]],INDIRECT("'"&amp;Table1[[#This Row],[sheet]]&amp;"'!$A$8:$T$42"),Table1[[#This Row],[r]],FALSE)),"",VLOOKUP(Table1[[#This Row],[item]],INDIRECT("'"&amp;Table1[[#This Row],[sheet]]&amp;"'!$A$8:$T$42"),Table1[[#This Row],[r]],FALSE))</f>
        <v>0</v>
      </c>
      <c r="AE1253">
        <f>IF(VLOOKUP(Table1[[#This Row],[sheet]],Prg!$A$7:$J$31,10,FALSE)="","",VLOOKUP(Table1[[#This Row],[sheet]],Prg!$A$7:$J$31,10,FALSE)*1)</f>
        <v>1</v>
      </c>
      <c r="AF1253" t="str">
        <f>VLOOKUP(Table1[[#This Row],[sheet]],Prg!$A$7:$J$31,5,FALSE)</f>
        <v>CONGO (DEMOCRATIC REP.)</v>
      </c>
      <c r="AG1253">
        <f>ROW()</f>
        <v>1253</v>
      </c>
    </row>
    <row r="1254" spans="24:33" hidden="1" x14ac:dyDescent="0.25">
      <c r="X1254">
        <v>7</v>
      </c>
      <c r="Y1254" t="s">
        <v>773</v>
      </c>
      <c r="Z1254" t="s">
        <v>190</v>
      </c>
      <c r="AA1254" t="str">
        <f>IF(OR(VLOOKUP(Table1[[#This Row],[sheet]],Prg!$A$7:$F$31,6,FALSE)=Prg!$O$2,VLOOKUP(Table1[[#This Row],[sheet]],Prg!$A$7:$F$31,6,FALSE)=Prg!$O$3),"Yes","No")</f>
        <v>Yes</v>
      </c>
      <c r="AB1254" t="s">
        <v>78</v>
      </c>
      <c r="AC1254">
        <v>20</v>
      </c>
      <c r="AD1254">
        <f ca="1">IF(ISERROR(VLOOKUP(Table1[[#This Row],[item]],INDIRECT("'"&amp;Table1[[#This Row],[sheet]]&amp;"'!$A$8:$T$42"),Table1[[#This Row],[r]],FALSE)),"",VLOOKUP(Table1[[#This Row],[item]],INDIRECT("'"&amp;Table1[[#This Row],[sheet]]&amp;"'!$A$8:$T$42"),Table1[[#This Row],[r]],FALSE))</f>
        <v>2240074.0490909093</v>
      </c>
      <c r="AE1254">
        <f>IF(VLOOKUP(Table1[[#This Row],[sheet]],Prg!$A$7:$J$31,10,FALSE)="","",VLOOKUP(Table1[[#This Row],[sheet]],Prg!$A$7:$J$31,10,FALSE)*1)</f>
        <v>1</v>
      </c>
      <c r="AF1254" t="str">
        <f>VLOOKUP(Table1[[#This Row],[sheet]],Prg!$A$7:$J$31,5,FALSE)</f>
        <v>CONGO (DEMOCRATIC REP.)</v>
      </c>
      <c r="AG1254">
        <f>ROW()</f>
        <v>1254</v>
      </c>
    </row>
    <row r="1255" spans="24:33" hidden="1" x14ac:dyDescent="0.25">
      <c r="X1255">
        <v>7</v>
      </c>
      <c r="Y1255" t="s">
        <v>709</v>
      </c>
      <c r="Z1255" t="s">
        <v>192</v>
      </c>
      <c r="AA1255" t="str">
        <f>IF(OR(VLOOKUP(Table1[[#This Row],[sheet]],Prg!$A$7:$F$31,6,FALSE)=Prg!$O$2,VLOOKUP(Table1[[#This Row],[sheet]],Prg!$A$7:$F$31,6,FALSE)=Prg!$O$3),"Yes","No")</f>
        <v>Yes</v>
      </c>
      <c r="AB1255" t="s">
        <v>78</v>
      </c>
      <c r="AC1255">
        <v>20</v>
      </c>
      <c r="AD1255">
        <f ca="1">IF(ISERROR(VLOOKUP(Table1[[#This Row],[item]],INDIRECT("'"&amp;Table1[[#This Row],[sheet]]&amp;"'!$A$8:$T$42"),Table1[[#This Row],[r]],FALSE)),"",VLOOKUP(Table1[[#This Row],[item]],INDIRECT("'"&amp;Table1[[#This Row],[sheet]]&amp;"'!$A$8:$T$42"),Table1[[#This Row],[r]],FALSE))</f>
        <v>38796.619999999995</v>
      </c>
      <c r="AE1255">
        <f>IF(VLOOKUP(Table1[[#This Row],[sheet]],Prg!$A$7:$J$31,10,FALSE)="","",VLOOKUP(Table1[[#This Row],[sheet]],Prg!$A$7:$J$31,10,FALSE)*1)</f>
        <v>1</v>
      </c>
      <c r="AF1255" t="str">
        <f>VLOOKUP(Table1[[#This Row],[sheet]],Prg!$A$7:$J$31,5,FALSE)</f>
        <v>CONGO (DEMOCRATIC REP.)</v>
      </c>
      <c r="AG1255">
        <f>ROW()</f>
        <v>1255</v>
      </c>
    </row>
    <row r="1256" spans="24:33" hidden="1" x14ac:dyDescent="0.25">
      <c r="X1256">
        <v>7</v>
      </c>
      <c r="Y1256" t="s">
        <v>774</v>
      </c>
      <c r="Z1256" t="s">
        <v>194</v>
      </c>
      <c r="AA1256" t="str">
        <f>IF(OR(VLOOKUP(Table1[[#This Row],[sheet]],Prg!$A$7:$F$31,6,FALSE)=Prg!$O$2,VLOOKUP(Table1[[#This Row],[sheet]],Prg!$A$7:$F$31,6,FALSE)=Prg!$O$3),"Yes","No")</f>
        <v>Yes</v>
      </c>
      <c r="AB1256" t="s">
        <v>78</v>
      </c>
      <c r="AC1256">
        <v>20</v>
      </c>
      <c r="AD1256">
        <f ca="1">IF(ISERROR(VLOOKUP(Table1[[#This Row],[item]],INDIRECT("'"&amp;Table1[[#This Row],[sheet]]&amp;"'!$A$8:$T$42"),Table1[[#This Row],[r]],FALSE)),"",VLOOKUP(Table1[[#This Row],[item]],INDIRECT("'"&amp;Table1[[#This Row],[sheet]]&amp;"'!$A$8:$T$42"),Table1[[#This Row],[r]],FALSE))</f>
        <v>13500</v>
      </c>
      <c r="AE1256">
        <f>IF(VLOOKUP(Table1[[#This Row],[sheet]],Prg!$A$7:$J$31,10,FALSE)="","",VLOOKUP(Table1[[#This Row],[sheet]],Prg!$A$7:$J$31,10,FALSE)*1)</f>
        <v>1</v>
      </c>
      <c r="AF1256" t="str">
        <f>VLOOKUP(Table1[[#This Row],[sheet]],Prg!$A$7:$J$31,5,FALSE)</f>
        <v>CONGO (DEMOCRATIC REP.)</v>
      </c>
      <c r="AG1256">
        <f>ROW()</f>
        <v>1256</v>
      </c>
    </row>
    <row r="1257" spans="24:33" hidden="1" x14ac:dyDescent="0.25">
      <c r="X1257">
        <v>7</v>
      </c>
      <c r="Y1257" t="s">
        <v>775</v>
      </c>
      <c r="Z1257" t="s">
        <v>196</v>
      </c>
      <c r="AA1257" t="str">
        <f>IF(OR(VLOOKUP(Table1[[#This Row],[sheet]],Prg!$A$7:$F$31,6,FALSE)=Prg!$O$2,VLOOKUP(Table1[[#This Row],[sheet]],Prg!$A$7:$F$31,6,FALSE)=Prg!$O$3),"Yes","No")</f>
        <v>Yes</v>
      </c>
      <c r="AB1257" t="s">
        <v>78</v>
      </c>
      <c r="AC1257">
        <v>20</v>
      </c>
      <c r="AD1257">
        <f ca="1">IF(ISERROR(VLOOKUP(Table1[[#This Row],[item]],INDIRECT("'"&amp;Table1[[#This Row],[sheet]]&amp;"'!$A$8:$T$42"),Table1[[#This Row],[r]],FALSE)),"",VLOOKUP(Table1[[#This Row],[item]],INDIRECT("'"&amp;Table1[[#This Row],[sheet]]&amp;"'!$A$8:$T$42"),Table1[[#This Row],[r]],FALSE))</f>
        <v>7096.62</v>
      </c>
      <c r="AE1257">
        <f>IF(VLOOKUP(Table1[[#This Row],[sheet]],Prg!$A$7:$J$31,10,FALSE)="","",VLOOKUP(Table1[[#This Row],[sheet]],Prg!$A$7:$J$31,10,FALSE)*1)</f>
        <v>1</v>
      </c>
      <c r="AF1257" t="str">
        <f>VLOOKUP(Table1[[#This Row],[sheet]],Prg!$A$7:$J$31,5,FALSE)</f>
        <v>CONGO (DEMOCRATIC REP.)</v>
      </c>
      <c r="AG1257">
        <f>ROW()</f>
        <v>1257</v>
      </c>
    </row>
    <row r="1258" spans="24:33" hidden="1" x14ac:dyDescent="0.25">
      <c r="X1258">
        <v>7</v>
      </c>
      <c r="Y1258" t="s">
        <v>776</v>
      </c>
      <c r="Z1258" t="s">
        <v>605</v>
      </c>
      <c r="AA1258" t="str">
        <f>IF(OR(VLOOKUP(Table1[[#This Row],[sheet]],Prg!$A$7:$F$31,6,FALSE)=Prg!$O$2,VLOOKUP(Table1[[#This Row],[sheet]],Prg!$A$7:$F$31,6,FALSE)=Prg!$O$3),"Yes","No")</f>
        <v>Yes</v>
      </c>
      <c r="AB1258" t="s">
        <v>78</v>
      </c>
      <c r="AC1258">
        <v>20</v>
      </c>
      <c r="AD1258">
        <f ca="1">IF(ISERROR(VLOOKUP(Table1[[#This Row],[item]],INDIRECT("'"&amp;Table1[[#This Row],[sheet]]&amp;"'!$A$8:$T$42"),Table1[[#This Row],[r]],FALSE)),"",VLOOKUP(Table1[[#This Row],[item]],INDIRECT("'"&amp;Table1[[#This Row],[sheet]]&amp;"'!$A$8:$T$42"),Table1[[#This Row],[r]],FALSE))</f>
        <v>18200</v>
      </c>
      <c r="AE1258">
        <f>IF(VLOOKUP(Table1[[#This Row],[sheet]],Prg!$A$7:$J$31,10,FALSE)="","",VLOOKUP(Table1[[#This Row],[sheet]],Prg!$A$7:$J$31,10,FALSE)*1)</f>
        <v>1</v>
      </c>
      <c r="AF1258" t="str">
        <f>VLOOKUP(Table1[[#This Row],[sheet]],Prg!$A$7:$J$31,5,FALSE)</f>
        <v>CONGO (DEMOCRATIC REP.)</v>
      </c>
      <c r="AG1258">
        <f>ROW()</f>
        <v>1258</v>
      </c>
    </row>
    <row r="1259" spans="24:33" hidden="1" x14ac:dyDescent="0.25">
      <c r="X1259">
        <v>7</v>
      </c>
      <c r="Y1259" t="s">
        <v>711</v>
      </c>
      <c r="Z1259" t="s">
        <v>200</v>
      </c>
      <c r="AA1259" t="str">
        <f>IF(OR(VLOOKUP(Table1[[#This Row],[sheet]],Prg!$A$7:$F$31,6,FALSE)=Prg!$O$2,VLOOKUP(Table1[[#This Row],[sheet]],Prg!$A$7:$F$31,6,FALSE)=Prg!$O$3),"Yes","No")</f>
        <v>Yes</v>
      </c>
      <c r="AB1259" t="s">
        <v>78</v>
      </c>
      <c r="AC1259">
        <v>20</v>
      </c>
      <c r="AD1259">
        <f ca="1">IF(ISERROR(VLOOKUP(Table1[[#This Row],[item]],INDIRECT("'"&amp;Table1[[#This Row],[sheet]]&amp;"'!$A$8:$T$42"),Table1[[#This Row],[r]],FALSE)),"",VLOOKUP(Table1[[#This Row],[item]],INDIRECT("'"&amp;Table1[[#This Row],[sheet]]&amp;"'!$A$8:$T$42"),Table1[[#This Row],[r]],FALSE))</f>
        <v>1267665.2290909095</v>
      </c>
      <c r="AE1259">
        <f>IF(VLOOKUP(Table1[[#This Row],[sheet]],Prg!$A$7:$J$31,10,FALSE)="","",VLOOKUP(Table1[[#This Row],[sheet]],Prg!$A$7:$J$31,10,FALSE)*1)</f>
        <v>1</v>
      </c>
      <c r="AF1259" t="str">
        <f>VLOOKUP(Table1[[#This Row],[sheet]],Prg!$A$7:$J$31,5,FALSE)</f>
        <v>CONGO (DEMOCRATIC REP.)</v>
      </c>
      <c r="AG1259">
        <f>ROW()</f>
        <v>1259</v>
      </c>
    </row>
    <row r="1260" spans="24:33" hidden="1" x14ac:dyDescent="0.25">
      <c r="X1260">
        <v>7</v>
      </c>
      <c r="Y1260" t="s">
        <v>777</v>
      </c>
      <c r="Z1260" t="s">
        <v>202</v>
      </c>
      <c r="AA1260" t="str">
        <f>IF(OR(VLOOKUP(Table1[[#This Row],[sheet]],Prg!$A$7:$F$31,6,FALSE)=Prg!$O$2,VLOOKUP(Table1[[#This Row],[sheet]],Prg!$A$7:$F$31,6,FALSE)=Prg!$O$3),"Yes","No")</f>
        <v>Yes</v>
      </c>
      <c r="AB1260" t="s">
        <v>78</v>
      </c>
      <c r="AC1260">
        <v>20</v>
      </c>
      <c r="AD1260">
        <f ca="1">IF(ISERROR(VLOOKUP(Table1[[#This Row],[item]],INDIRECT("'"&amp;Table1[[#This Row],[sheet]]&amp;"'!$A$8:$T$42"),Table1[[#This Row],[r]],FALSE)),"",VLOOKUP(Table1[[#This Row],[item]],INDIRECT("'"&amp;Table1[[#This Row],[sheet]]&amp;"'!$A$8:$T$42"),Table1[[#This Row],[r]],FALSE))</f>
        <v>250852.56</v>
      </c>
      <c r="AE1260">
        <f>IF(VLOOKUP(Table1[[#This Row],[sheet]],Prg!$A$7:$J$31,10,FALSE)="","",VLOOKUP(Table1[[#This Row],[sheet]],Prg!$A$7:$J$31,10,FALSE)*1)</f>
        <v>1</v>
      </c>
      <c r="AF1260" t="str">
        <f>VLOOKUP(Table1[[#This Row],[sheet]],Prg!$A$7:$J$31,5,FALSE)</f>
        <v>CONGO (DEMOCRATIC REP.)</v>
      </c>
      <c r="AG1260">
        <f>ROW()</f>
        <v>1260</v>
      </c>
    </row>
    <row r="1261" spans="24:33" hidden="1" x14ac:dyDescent="0.25">
      <c r="X1261">
        <v>7</v>
      </c>
      <c r="Y1261" t="s">
        <v>778</v>
      </c>
      <c r="Z1261" t="s">
        <v>204</v>
      </c>
      <c r="AA1261" t="str">
        <f>IF(OR(VLOOKUP(Table1[[#This Row],[sheet]],Prg!$A$7:$F$31,6,FALSE)=Prg!$O$2,VLOOKUP(Table1[[#This Row],[sheet]],Prg!$A$7:$F$31,6,FALSE)=Prg!$O$3),"Yes","No")</f>
        <v>Yes</v>
      </c>
      <c r="AB1261" t="s">
        <v>78</v>
      </c>
      <c r="AC1261">
        <v>20</v>
      </c>
      <c r="AD1261">
        <f ca="1">IF(ISERROR(VLOOKUP(Table1[[#This Row],[item]],INDIRECT("'"&amp;Table1[[#This Row],[sheet]]&amp;"'!$A$8:$T$42"),Table1[[#This Row],[r]],FALSE)),"",VLOOKUP(Table1[[#This Row],[item]],INDIRECT("'"&amp;Table1[[#This Row],[sheet]]&amp;"'!$A$8:$T$42"),Table1[[#This Row],[r]],FALSE))</f>
        <v>220954.16363636366</v>
      </c>
      <c r="AE1261">
        <f>IF(VLOOKUP(Table1[[#This Row],[sheet]],Prg!$A$7:$J$31,10,FALSE)="","",VLOOKUP(Table1[[#This Row],[sheet]],Prg!$A$7:$J$31,10,FALSE)*1)</f>
        <v>1</v>
      </c>
      <c r="AF1261" t="str">
        <f>VLOOKUP(Table1[[#This Row],[sheet]],Prg!$A$7:$J$31,5,FALSE)</f>
        <v>CONGO (DEMOCRATIC REP.)</v>
      </c>
      <c r="AG1261">
        <f>ROW()</f>
        <v>1261</v>
      </c>
    </row>
    <row r="1262" spans="24:33" hidden="1" x14ac:dyDescent="0.25">
      <c r="X1262">
        <v>7</v>
      </c>
      <c r="Y1262" t="s">
        <v>779</v>
      </c>
      <c r="Z1262" t="s">
        <v>605</v>
      </c>
      <c r="AA1262" t="str">
        <f>IF(OR(VLOOKUP(Table1[[#This Row],[sheet]],Prg!$A$7:$F$31,6,FALSE)=Prg!$O$2,VLOOKUP(Table1[[#This Row],[sheet]],Prg!$A$7:$F$31,6,FALSE)=Prg!$O$3),"Yes","No")</f>
        <v>Yes</v>
      </c>
      <c r="AB1262" t="s">
        <v>78</v>
      </c>
      <c r="AC1262">
        <v>20</v>
      </c>
      <c r="AD1262">
        <f ca="1">IF(ISERROR(VLOOKUP(Table1[[#This Row],[item]],INDIRECT("'"&amp;Table1[[#This Row],[sheet]]&amp;"'!$A$8:$T$42"),Table1[[#This Row],[r]],FALSE)),"",VLOOKUP(Table1[[#This Row],[item]],INDIRECT("'"&amp;Table1[[#This Row],[sheet]]&amp;"'!$A$8:$T$42"),Table1[[#This Row],[r]],FALSE))</f>
        <v>795858.50545454572</v>
      </c>
      <c r="AE1262">
        <f>IF(VLOOKUP(Table1[[#This Row],[sheet]],Prg!$A$7:$J$31,10,FALSE)="","",VLOOKUP(Table1[[#This Row],[sheet]],Prg!$A$7:$J$31,10,FALSE)*1)</f>
        <v>1</v>
      </c>
      <c r="AF1262" t="str">
        <f>VLOOKUP(Table1[[#This Row],[sheet]],Prg!$A$7:$J$31,5,FALSE)</f>
        <v>CONGO (DEMOCRATIC REP.)</v>
      </c>
      <c r="AG1262">
        <f>ROW()</f>
        <v>1262</v>
      </c>
    </row>
    <row r="1263" spans="24:33" hidden="1" x14ac:dyDescent="0.25">
      <c r="X1263">
        <v>7</v>
      </c>
      <c r="Y1263" t="s">
        <v>712</v>
      </c>
      <c r="Z1263" t="s">
        <v>780</v>
      </c>
      <c r="AA1263" t="str">
        <f>IF(OR(VLOOKUP(Table1[[#This Row],[sheet]],Prg!$A$7:$F$31,6,FALSE)=Prg!$O$2,VLOOKUP(Table1[[#This Row],[sheet]],Prg!$A$7:$F$31,6,FALSE)=Prg!$O$3),"Yes","No")</f>
        <v>Yes</v>
      </c>
      <c r="AB1263" t="s">
        <v>78</v>
      </c>
      <c r="AC1263">
        <v>20</v>
      </c>
      <c r="AD1263">
        <f ca="1">IF(ISERROR(VLOOKUP(Table1[[#This Row],[item]],INDIRECT("'"&amp;Table1[[#This Row],[sheet]]&amp;"'!$A$8:$T$42"),Table1[[#This Row],[r]],FALSE)),"",VLOOKUP(Table1[[#This Row],[item]],INDIRECT("'"&amp;Table1[[#This Row],[sheet]]&amp;"'!$A$8:$T$42"),Table1[[#This Row],[r]],FALSE))</f>
        <v>933612.2</v>
      </c>
      <c r="AE1263">
        <f>IF(VLOOKUP(Table1[[#This Row],[sheet]],Prg!$A$7:$J$31,10,FALSE)="","",VLOOKUP(Table1[[#This Row],[sheet]],Prg!$A$7:$J$31,10,FALSE)*1)</f>
        <v>1</v>
      </c>
      <c r="AF1263" t="str">
        <f>VLOOKUP(Table1[[#This Row],[sheet]],Prg!$A$7:$J$31,5,FALSE)</f>
        <v>CONGO (DEMOCRATIC REP.)</v>
      </c>
      <c r="AG1263">
        <f>ROW()</f>
        <v>1263</v>
      </c>
    </row>
    <row r="1264" spans="24:33" hidden="1" x14ac:dyDescent="0.25">
      <c r="X1264">
        <v>7</v>
      </c>
      <c r="Y1264" t="s">
        <v>781</v>
      </c>
      <c r="Z1264" t="s">
        <v>782</v>
      </c>
      <c r="AA1264" t="str">
        <f>IF(OR(VLOOKUP(Table1[[#This Row],[sheet]],Prg!$A$7:$F$31,6,FALSE)=Prg!$O$2,VLOOKUP(Table1[[#This Row],[sheet]],Prg!$A$7:$F$31,6,FALSE)=Prg!$O$3),"Yes","No")</f>
        <v>Yes</v>
      </c>
      <c r="AB1264" t="s">
        <v>78</v>
      </c>
      <c r="AC1264">
        <v>20</v>
      </c>
      <c r="AD1264">
        <f ca="1">IF(ISERROR(VLOOKUP(Table1[[#This Row],[item]],INDIRECT("'"&amp;Table1[[#This Row],[sheet]]&amp;"'!$A$8:$T$42"),Table1[[#This Row],[r]],FALSE)),"",VLOOKUP(Table1[[#This Row],[item]],INDIRECT("'"&amp;Table1[[#This Row],[sheet]]&amp;"'!$A$8:$T$42"),Table1[[#This Row],[r]],FALSE))</f>
        <v>0</v>
      </c>
      <c r="AE1264">
        <f>IF(VLOOKUP(Table1[[#This Row],[sheet]],Prg!$A$7:$J$31,10,FALSE)="","",VLOOKUP(Table1[[#This Row],[sheet]],Prg!$A$7:$J$31,10,FALSE)*1)</f>
        <v>1</v>
      </c>
      <c r="AF1264" t="str">
        <f>VLOOKUP(Table1[[#This Row],[sheet]],Prg!$A$7:$J$31,5,FALSE)</f>
        <v>CONGO (DEMOCRATIC REP.)</v>
      </c>
      <c r="AG1264">
        <f>ROW()</f>
        <v>1264</v>
      </c>
    </row>
    <row r="1265" spans="24:33" hidden="1" x14ac:dyDescent="0.25">
      <c r="X1265">
        <v>7</v>
      </c>
      <c r="Y1265" t="s">
        <v>783</v>
      </c>
      <c r="Z1265" t="s">
        <v>784</v>
      </c>
      <c r="AA1265" t="str">
        <f>IF(OR(VLOOKUP(Table1[[#This Row],[sheet]],Prg!$A$7:$F$31,6,FALSE)=Prg!$O$2,VLOOKUP(Table1[[#This Row],[sheet]],Prg!$A$7:$F$31,6,FALSE)=Prg!$O$3),"Yes","No")</f>
        <v>Yes</v>
      </c>
      <c r="AB1265" t="s">
        <v>78</v>
      </c>
      <c r="AC1265">
        <v>20</v>
      </c>
      <c r="AD1265">
        <f ca="1">IF(ISERROR(VLOOKUP(Table1[[#This Row],[item]],INDIRECT("'"&amp;Table1[[#This Row],[sheet]]&amp;"'!$A$8:$T$42"),Table1[[#This Row],[r]],FALSE)),"",VLOOKUP(Table1[[#This Row],[item]],INDIRECT("'"&amp;Table1[[#This Row],[sheet]]&amp;"'!$A$8:$T$42"),Table1[[#This Row],[r]],FALSE))</f>
        <v>110711.75</v>
      </c>
      <c r="AE1265">
        <f>IF(VLOOKUP(Table1[[#This Row],[sheet]],Prg!$A$7:$J$31,10,FALSE)="","",VLOOKUP(Table1[[#This Row],[sheet]],Prg!$A$7:$J$31,10,FALSE)*1)</f>
        <v>1</v>
      </c>
      <c r="AF1265" t="str">
        <f>VLOOKUP(Table1[[#This Row],[sheet]],Prg!$A$7:$J$31,5,FALSE)</f>
        <v>CONGO (DEMOCRATIC REP.)</v>
      </c>
      <c r="AG1265">
        <f>ROW()</f>
        <v>1265</v>
      </c>
    </row>
    <row r="1266" spans="24:33" hidden="1" x14ac:dyDescent="0.25">
      <c r="X1266">
        <v>7</v>
      </c>
      <c r="Y1266" t="s">
        <v>785</v>
      </c>
      <c r="Z1266" t="s">
        <v>786</v>
      </c>
      <c r="AA1266" t="str">
        <f>IF(OR(VLOOKUP(Table1[[#This Row],[sheet]],Prg!$A$7:$F$31,6,FALSE)=Prg!$O$2,VLOOKUP(Table1[[#This Row],[sheet]],Prg!$A$7:$F$31,6,FALSE)=Prg!$O$3),"Yes","No")</f>
        <v>Yes</v>
      </c>
      <c r="AB1266" t="s">
        <v>78</v>
      </c>
      <c r="AC1266">
        <v>20</v>
      </c>
      <c r="AD1266">
        <f ca="1">IF(ISERROR(VLOOKUP(Table1[[#This Row],[item]],INDIRECT("'"&amp;Table1[[#This Row],[sheet]]&amp;"'!$A$8:$T$42"),Table1[[#This Row],[r]],FALSE)),"",VLOOKUP(Table1[[#This Row],[item]],INDIRECT("'"&amp;Table1[[#This Row],[sheet]]&amp;"'!$A$8:$T$42"),Table1[[#This Row],[r]],FALSE))</f>
        <v>822900.45</v>
      </c>
      <c r="AE1266">
        <f>IF(VLOOKUP(Table1[[#This Row],[sheet]],Prg!$A$7:$J$31,10,FALSE)="","",VLOOKUP(Table1[[#This Row],[sheet]],Prg!$A$7:$J$31,10,FALSE)*1)</f>
        <v>1</v>
      </c>
      <c r="AF1266" t="str">
        <f>VLOOKUP(Table1[[#This Row],[sheet]],Prg!$A$7:$J$31,5,FALSE)</f>
        <v>CONGO (DEMOCRATIC REP.)</v>
      </c>
      <c r="AG1266">
        <f>ROW()</f>
        <v>1266</v>
      </c>
    </row>
    <row r="1267" spans="24:33" hidden="1" x14ac:dyDescent="0.25">
      <c r="X1267">
        <v>7</v>
      </c>
      <c r="Y1267" t="s">
        <v>787</v>
      </c>
      <c r="Z1267" t="s">
        <v>633</v>
      </c>
      <c r="AA1267" t="str">
        <f>IF(OR(VLOOKUP(Table1[[#This Row],[sheet]],Prg!$A$7:$F$31,6,FALSE)=Prg!$O$2,VLOOKUP(Table1[[#This Row],[sheet]],Prg!$A$7:$F$31,6,FALSE)=Prg!$O$3),"Yes","No")</f>
        <v>Yes</v>
      </c>
      <c r="AB1267" t="s">
        <v>78</v>
      </c>
      <c r="AC1267">
        <v>20</v>
      </c>
      <c r="AD1267">
        <f ca="1">IF(ISERROR(VLOOKUP(Table1[[#This Row],[item]],INDIRECT("'"&amp;Table1[[#This Row],[sheet]]&amp;"'!$A$8:$T$42"),Table1[[#This Row],[r]],FALSE)),"",VLOOKUP(Table1[[#This Row],[item]],INDIRECT("'"&amp;Table1[[#This Row],[sheet]]&amp;"'!$A$8:$T$42"),Table1[[#This Row],[r]],FALSE))</f>
        <v>0</v>
      </c>
      <c r="AE1267">
        <f>IF(VLOOKUP(Table1[[#This Row],[sheet]],Prg!$A$7:$J$31,10,FALSE)="","",VLOOKUP(Table1[[#This Row],[sheet]],Prg!$A$7:$J$31,10,FALSE)*1)</f>
        <v>1</v>
      </c>
      <c r="AF1267" t="str">
        <f>VLOOKUP(Table1[[#This Row],[sheet]],Prg!$A$7:$J$31,5,FALSE)</f>
        <v>CONGO (DEMOCRATIC REP.)</v>
      </c>
      <c r="AG1267">
        <f>ROW()</f>
        <v>1267</v>
      </c>
    </row>
    <row r="1268" spans="24:33" hidden="1" x14ac:dyDescent="0.25">
      <c r="X1268">
        <v>8</v>
      </c>
      <c r="Y1268" t="s">
        <v>753</v>
      </c>
      <c r="Z1268" t="s">
        <v>162</v>
      </c>
      <c r="AA1268" t="str">
        <f>IF(OR(VLOOKUP(Table1[[#This Row],[sheet]],Prg!$A$7:$F$31,6,FALSE)=Prg!$O$2,VLOOKUP(Table1[[#This Row],[sheet]],Prg!$A$7:$F$31,6,FALSE)=Prg!$O$3),"Yes","No")</f>
        <v>Yes</v>
      </c>
      <c r="AB1268">
        <v>2022</v>
      </c>
      <c r="AC1268">
        <v>15</v>
      </c>
      <c r="AD1268">
        <f ca="1">IF(ISERROR(VLOOKUP(Table1[[#This Row],[item]],INDIRECT("'"&amp;Table1[[#This Row],[sheet]]&amp;"'!$A$8:$T$42"),Table1[[#This Row],[r]],FALSE)),"",VLOOKUP(Table1[[#This Row],[item]],INDIRECT("'"&amp;Table1[[#This Row],[sheet]]&amp;"'!$A$8:$T$42"),Table1[[#This Row],[r]],FALSE))</f>
        <v>1170229.18</v>
      </c>
      <c r="AE1268">
        <f>IF(VLOOKUP(Table1[[#This Row],[sheet]],Prg!$A$7:$J$31,10,FALSE)="","",VLOOKUP(Table1[[#This Row],[sheet]],Prg!$A$7:$J$31,10,FALSE)*1)</f>
        <v>2</v>
      </c>
      <c r="AF1268" t="str">
        <f>VLOOKUP(Table1[[#This Row],[sheet]],Prg!$A$7:$J$31,5,FALSE)</f>
        <v>R - ASIA - FAR EAST AREA</v>
      </c>
      <c r="AG1268">
        <f>ROW()</f>
        <v>1268</v>
      </c>
    </row>
    <row r="1269" spans="24:33" hidden="1" x14ac:dyDescent="0.25">
      <c r="X1269">
        <v>8</v>
      </c>
      <c r="Y1269" t="s">
        <v>754</v>
      </c>
      <c r="Z1269" t="s">
        <v>164</v>
      </c>
      <c r="AA1269" t="str">
        <f>IF(OR(VLOOKUP(Table1[[#This Row],[sheet]],Prg!$A$7:$F$31,6,FALSE)=Prg!$O$2,VLOOKUP(Table1[[#This Row],[sheet]],Prg!$A$7:$F$31,6,FALSE)=Prg!$O$3),"Yes","No")</f>
        <v>Yes</v>
      </c>
      <c r="AB1269">
        <v>2022</v>
      </c>
      <c r="AC1269">
        <v>15</v>
      </c>
      <c r="AD1269">
        <f ca="1">IF(ISERROR(VLOOKUP(Table1[[#This Row],[item]],INDIRECT("'"&amp;Table1[[#This Row],[sheet]]&amp;"'!$A$8:$T$42"),Table1[[#This Row],[r]],FALSE)),"",VLOOKUP(Table1[[#This Row],[item]],INDIRECT("'"&amp;Table1[[#This Row],[sheet]]&amp;"'!$A$8:$T$42"),Table1[[#This Row],[r]],FALSE))</f>
        <v>55438</v>
      </c>
      <c r="AE1269">
        <f>IF(VLOOKUP(Table1[[#This Row],[sheet]],Prg!$A$7:$J$31,10,FALSE)="","",VLOOKUP(Table1[[#This Row],[sheet]],Prg!$A$7:$J$31,10,FALSE)*1)</f>
        <v>2</v>
      </c>
      <c r="AF1269" t="str">
        <f>VLOOKUP(Table1[[#This Row],[sheet]],Prg!$A$7:$J$31,5,FALSE)</f>
        <v>R - ASIA - FAR EAST AREA</v>
      </c>
      <c r="AG1269">
        <f>ROW()</f>
        <v>1269</v>
      </c>
    </row>
    <row r="1270" spans="24:33" hidden="1" x14ac:dyDescent="0.25">
      <c r="X1270">
        <v>8</v>
      </c>
      <c r="Y1270" t="s">
        <v>755</v>
      </c>
      <c r="Z1270" t="s">
        <v>166</v>
      </c>
      <c r="AA1270" t="str">
        <f>IF(OR(VLOOKUP(Table1[[#This Row],[sheet]],Prg!$A$7:$F$31,6,FALSE)=Prg!$O$2,VLOOKUP(Table1[[#This Row],[sheet]],Prg!$A$7:$F$31,6,FALSE)=Prg!$O$3),"Yes","No")</f>
        <v>Yes</v>
      </c>
      <c r="AB1270">
        <v>2022</v>
      </c>
      <c r="AC1270">
        <v>15</v>
      </c>
      <c r="AD1270">
        <f ca="1">IF(ISERROR(VLOOKUP(Table1[[#This Row],[item]],INDIRECT("'"&amp;Table1[[#This Row],[sheet]]&amp;"'!$A$8:$T$42"),Table1[[#This Row],[r]],FALSE)),"",VLOOKUP(Table1[[#This Row],[item]],INDIRECT("'"&amp;Table1[[#This Row],[sheet]]&amp;"'!$A$8:$T$42"),Table1[[#This Row],[r]],FALSE))</f>
        <v>773229.7</v>
      </c>
      <c r="AE1270">
        <f>IF(VLOOKUP(Table1[[#This Row],[sheet]],Prg!$A$7:$J$31,10,FALSE)="","",VLOOKUP(Table1[[#This Row],[sheet]],Prg!$A$7:$J$31,10,FALSE)*1)</f>
        <v>2</v>
      </c>
      <c r="AF1270" t="str">
        <f>VLOOKUP(Table1[[#This Row],[sheet]],Prg!$A$7:$J$31,5,FALSE)</f>
        <v>R - ASIA - FAR EAST AREA</v>
      </c>
      <c r="AG1270">
        <f>ROW()</f>
        <v>1270</v>
      </c>
    </row>
    <row r="1271" spans="24:33" hidden="1" x14ac:dyDescent="0.25">
      <c r="X1271">
        <v>8</v>
      </c>
      <c r="Y1271" t="s">
        <v>756</v>
      </c>
      <c r="Z1271" t="s">
        <v>757</v>
      </c>
      <c r="AA1271" t="str">
        <f>IF(OR(VLOOKUP(Table1[[#This Row],[sheet]],Prg!$A$7:$F$31,6,FALSE)=Prg!$O$2,VLOOKUP(Table1[[#This Row],[sheet]],Prg!$A$7:$F$31,6,FALSE)=Prg!$O$3),"Yes","No")</f>
        <v>Yes</v>
      </c>
      <c r="AB1271">
        <v>2022</v>
      </c>
      <c r="AC1271">
        <v>15</v>
      </c>
      <c r="AD1271">
        <f ca="1">IF(ISERROR(VLOOKUP(Table1[[#This Row],[item]],INDIRECT("'"&amp;Table1[[#This Row],[sheet]]&amp;"'!$A$8:$T$42"),Table1[[#This Row],[r]],FALSE)),"",VLOOKUP(Table1[[#This Row],[item]],INDIRECT("'"&amp;Table1[[#This Row],[sheet]]&amp;"'!$A$8:$T$42"),Table1[[#This Row],[r]],FALSE))</f>
        <v>341561.48</v>
      </c>
      <c r="AE1271">
        <f>IF(VLOOKUP(Table1[[#This Row],[sheet]],Prg!$A$7:$J$31,10,FALSE)="","",VLOOKUP(Table1[[#This Row],[sheet]],Prg!$A$7:$J$31,10,FALSE)*1)</f>
        <v>2</v>
      </c>
      <c r="AF1271" t="str">
        <f>VLOOKUP(Table1[[#This Row],[sheet]],Prg!$A$7:$J$31,5,FALSE)</f>
        <v>R - ASIA - FAR EAST AREA</v>
      </c>
      <c r="AG1271">
        <f>ROW()</f>
        <v>1271</v>
      </c>
    </row>
    <row r="1272" spans="24:33" hidden="1" x14ac:dyDescent="0.25">
      <c r="X1272">
        <v>8</v>
      </c>
      <c r="Y1272" t="s">
        <v>758</v>
      </c>
      <c r="Z1272" t="s">
        <v>170</v>
      </c>
      <c r="AA1272" t="str">
        <f>IF(OR(VLOOKUP(Table1[[#This Row],[sheet]],Prg!$A$7:$F$31,6,FALSE)=Prg!$O$2,VLOOKUP(Table1[[#This Row],[sheet]],Prg!$A$7:$F$31,6,FALSE)=Prg!$O$3),"Yes","No")</f>
        <v>Yes</v>
      </c>
      <c r="AB1272">
        <v>2022</v>
      </c>
      <c r="AC1272">
        <v>15</v>
      </c>
      <c r="AD1272">
        <f ca="1">IF(ISERROR(VLOOKUP(Table1[[#This Row],[item]],INDIRECT("'"&amp;Table1[[#This Row],[sheet]]&amp;"'!$A$8:$T$42"),Table1[[#This Row],[r]],FALSE)),"",VLOOKUP(Table1[[#This Row],[item]],INDIRECT("'"&amp;Table1[[#This Row],[sheet]]&amp;"'!$A$8:$T$42"),Table1[[#This Row],[r]],FALSE))</f>
        <v>182208</v>
      </c>
      <c r="AE1272">
        <f>IF(VLOOKUP(Table1[[#This Row],[sheet]],Prg!$A$7:$J$31,10,FALSE)="","",VLOOKUP(Table1[[#This Row],[sheet]],Prg!$A$7:$J$31,10,FALSE)*1)</f>
        <v>2</v>
      </c>
      <c r="AF1272" t="str">
        <f>VLOOKUP(Table1[[#This Row],[sheet]],Prg!$A$7:$J$31,5,FALSE)</f>
        <v>R - ASIA - FAR EAST AREA</v>
      </c>
      <c r="AG1272">
        <f>ROW()</f>
        <v>1272</v>
      </c>
    </row>
    <row r="1273" spans="24:33" hidden="1" x14ac:dyDescent="0.25">
      <c r="X1273">
        <v>8</v>
      </c>
      <c r="Y1273" t="s">
        <v>759</v>
      </c>
      <c r="Z1273" t="s">
        <v>172</v>
      </c>
      <c r="AA1273" t="str">
        <f>IF(OR(VLOOKUP(Table1[[#This Row],[sheet]],Prg!$A$7:$F$31,6,FALSE)=Prg!$O$2,VLOOKUP(Table1[[#This Row],[sheet]],Prg!$A$7:$F$31,6,FALSE)=Prg!$O$3),"Yes","No")</f>
        <v>Yes</v>
      </c>
      <c r="AB1273">
        <v>2022</v>
      </c>
      <c r="AC1273">
        <v>15</v>
      </c>
      <c r="AD1273">
        <f ca="1">IF(ISERROR(VLOOKUP(Table1[[#This Row],[item]],INDIRECT("'"&amp;Table1[[#This Row],[sheet]]&amp;"'!$A$8:$T$42"),Table1[[#This Row],[r]],FALSE)),"",VLOOKUP(Table1[[#This Row],[item]],INDIRECT("'"&amp;Table1[[#This Row],[sheet]]&amp;"'!$A$8:$T$42"),Table1[[#This Row],[r]],FALSE))</f>
        <v>12650</v>
      </c>
      <c r="AE1273">
        <f>IF(VLOOKUP(Table1[[#This Row],[sheet]],Prg!$A$7:$J$31,10,FALSE)="","",VLOOKUP(Table1[[#This Row],[sheet]],Prg!$A$7:$J$31,10,FALSE)*1)</f>
        <v>2</v>
      </c>
      <c r="AF1273" t="str">
        <f>VLOOKUP(Table1[[#This Row],[sheet]],Prg!$A$7:$J$31,5,FALSE)</f>
        <v>R - ASIA - FAR EAST AREA</v>
      </c>
      <c r="AG1273">
        <f>ROW()</f>
        <v>1273</v>
      </c>
    </row>
    <row r="1274" spans="24:33" hidden="1" x14ac:dyDescent="0.25">
      <c r="X1274">
        <v>8</v>
      </c>
      <c r="Y1274" t="s">
        <v>760</v>
      </c>
      <c r="Z1274" t="s">
        <v>174</v>
      </c>
      <c r="AA1274" t="str">
        <f>IF(OR(VLOOKUP(Table1[[#This Row],[sheet]],Prg!$A$7:$F$31,6,FALSE)=Prg!$O$2,VLOOKUP(Table1[[#This Row],[sheet]],Prg!$A$7:$F$31,6,FALSE)=Prg!$O$3),"Yes","No")</f>
        <v>Yes</v>
      </c>
      <c r="AB1274">
        <v>2022</v>
      </c>
      <c r="AC1274">
        <v>15</v>
      </c>
      <c r="AD1274">
        <f ca="1">IF(ISERROR(VLOOKUP(Table1[[#This Row],[item]],INDIRECT("'"&amp;Table1[[#This Row],[sheet]]&amp;"'!$A$8:$T$42"),Table1[[#This Row],[r]],FALSE)),"",VLOOKUP(Table1[[#This Row],[item]],INDIRECT("'"&amp;Table1[[#This Row],[sheet]]&amp;"'!$A$8:$T$42"),Table1[[#This Row],[r]],FALSE))</f>
        <v>134158</v>
      </c>
      <c r="AE1274">
        <f>IF(VLOOKUP(Table1[[#This Row],[sheet]],Prg!$A$7:$J$31,10,FALSE)="","",VLOOKUP(Table1[[#This Row],[sheet]],Prg!$A$7:$J$31,10,FALSE)*1)</f>
        <v>2</v>
      </c>
      <c r="AF1274" t="str">
        <f>VLOOKUP(Table1[[#This Row],[sheet]],Prg!$A$7:$J$31,5,FALSE)</f>
        <v>R - ASIA - FAR EAST AREA</v>
      </c>
      <c r="AG1274">
        <f>ROW()</f>
        <v>1274</v>
      </c>
    </row>
    <row r="1275" spans="24:33" hidden="1" x14ac:dyDescent="0.25">
      <c r="X1275">
        <v>8</v>
      </c>
      <c r="Y1275" t="s">
        <v>761</v>
      </c>
      <c r="Z1275" t="s">
        <v>762</v>
      </c>
      <c r="AA1275" t="str">
        <f>IF(OR(VLOOKUP(Table1[[#This Row],[sheet]],Prg!$A$7:$F$31,6,FALSE)=Prg!$O$2,VLOOKUP(Table1[[#This Row],[sheet]],Prg!$A$7:$F$31,6,FALSE)=Prg!$O$3),"Yes","No")</f>
        <v>Yes</v>
      </c>
      <c r="AB1275">
        <v>2022</v>
      </c>
      <c r="AC1275">
        <v>15</v>
      </c>
      <c r="AD1275">
        <f ca="1">IF(ISERROR(VLOOKUP(Table1[[#This Row],[item]],INDIRECT("'"&amp;Table1[[#This Row],[sheet]]&amp;"'!$A$8:$T$42"),Table1[[#This Row],[r]],FALSE)),"",VLOOKUP(Table1[[#This Row],[item]],INDIRECT("'"&amp;Table1[[#This Row],[sheet]]&amp;"'!$A$8:$T$42"),Table1[[#This Row],[r]],FALSE))</f>
        <v>35400</v>
      </c>
      <c r="AE1275">
        <f>IF(VLOOKUP(Table1[[#This Row],[sheet]],Prg!$A$7:$J$31,10,FALSE)="","",VLOOKUP(Table1[[#This Row],[sheet]],Prg!$A$7:$J$31,10,FALSE)*1)</f>
        <v>2</v>
      </c>
      <c r="AF1275" t="str">
        <f>VLOOKUP(Table1[[#This Row],[sheet]],Prg!$A$7:$J$31,5,FALSE)</f>
        <v>R - ASIA - FAR EAST AREA</v>
      </c>
      <c r="AG1275">
        <f>ROW()</f>
        <v>1275</v>
      </c>
    </row>
    <row r="1276" spans="24:33" hidden="1" x14ac:dyDescent="0.25">
      <c r="X1276">
        <v>8</v>
      </c>
      <c r="Y1276" t="s">
        <v>763</v>
      </c>
      <c r="Z1276" t="s">
        <v>178</v>
      </c>
      <c r="AA1276" t="str">
        <f>IF(OR(VLOOKUP(Table1[[#This Row],[sheet]],Prg!$A$7:$F$31,6,FALSE)=Prg!$O$2,VLOOKUP(Table1[[#This Row],[sheet]],Prg!$A$7:$F$31,6,FALSE)=Prg!$O$3),"Yes","No")</f>
        <v>Yes</v>
      </c>
      <c r="AB1276">
        <v>2022</v>
      </c>
      <c r="AC1276">
        <v>15</v>
      </c>
      <c r="AD1276">
        <f ca="1">IF(ISERROR(VLOOKUP(Table1[[#This Row],[item]],INDIRECT("'"&amp;Table1[[#This Row],[sheet]]&amp;"'!$A$8:$T$42"),Table1[[#This Row],[r]],FALSE)),"",VLOOKUP(Table1[[#This Row],[item]],INDIRECT("'"&amp;Table1[[#This Row],[sheet]]&amp;"'!$A$8:$T$42"),Table1[[#This Row],[r]],FALSE))</f>
        <v>605642.69999999995</v>
      </c>
      <c r="AE1276">
        <f>IF(VLOOKUP(Table1[[#This Row],[sheet]],Prg!$A$7:$J$31,10,FALSE)="","",VLOOKUP(Table1[[#This Row],[sheet]],Prg!$A$7:$J$31,10,FALSE)*1)</f>
        <v>2</v>
      </c>
      <c r="AF1276" t="str">
        <f>VLOOKUP(Table1[[#This Row],[sheet]],Prg!$A$7:$J$31,5,FALSE)</f>
        <v>R - ASIA - FAR EAST AREA</v>
      </c>
      <c r="AG1276">
        <f>ROW()</f>
        <v>1276</v>
      </c>
    </row>
    <row r="1277" spans="24:33" hidden="1" x14ac:dyDescent="0.25">
      <c r="X1277">
        <v>8</v>
      </c>
      <c r="Y1277" t="s">
        <v>764</v>
      </c>
      <c r="Z1277" t="s">
        <v>109</v>
      </c>
      <c r="AA1277" t="str">
        <f>IF(OR(VLOOKUP(Table1[[#This Row],[sheet]],Prg!$A$7:$F$31,6,FALSE)=Prg!$O$2,VLOOKUP(Table1[[#This Row],[sheet]],Prg!$A$7:$F$31,6,FALSE)=Prg!$O$3),"Yes","No")</f>
        <v>Yes</v>
      </c>
      <c r="AB1277">
        <v>2022</v>
      </c>
      <c r="AC1277">
        <v>15</v>
      </c>
      <c r="AD1277">
        <f ca="1">IF(ISERROR(VLOOKUP(Table1[[#This Row],[item]],INDIRECT("'"&amp;Table1[[#This Row],[sheet]]&amp;"'!$A$8:$T$42"),Table1[[#This Row],[r]],FALSE)),"",VLOOKUP(Table1[[#This Row],[item]],INDIRECT("'"&amp;Table1[[#This Row],[sheet]]&amp;"'!$A$8:$T$42"),Table1[[#This Row],[r]],FALSE))</f>
        <v>34700</v>
      </c>
      <c r="AE1277">
        <f>IF(VLOOKUP(Table1[[#This Row],[sheet]],Prg!$A$7:$J$31,10,FALSE)="","",VLOOKUP(Table1[[#This Row],[sheet]],Prg!$A$7:$J$31,10,FALSE)*1)</f>
        <v>2</v>
      </c>
      <c r="AF1277" t="str">
        <f>VLOOKUP(Table1[[#This Row],[sheet]],Prg!$A$7:$J$31,5,FALSE)</f>
        <v>R - ASIA - FAR EAST AREA</v>
      </c>
      <c r="AG1277">
        <f>ROW()</f>
        <v>1277</v>
      </c>
    </row>
    <row r="1278" spans="24:33" hidden="1" x14ac:dyDescent="0.25">
      <c r="X1278">
        <v>8</v>
      </c>
      <c r="Y1278" t="s">
        <v>765</v>
      </c>
      <c r="Z1278" t="s">
        <v>117</v>
      </c>
      <c r="AA1278" t="str">
        <f>IF(OR(VLOOKUP(Table1[[#This Row],[sheet]],Prg!$A$7:$F$31,6,FALSE)=Prg!$O$2,VLOOKUP(Table1[[#This Row],[sheet]],Prg!$A$7:$F$31,6,FALSE)=Prg!$O$3),"Yes","No")</f>
        <v>Yes</v>
      </c>
      <c r="AB1278">
        <v>2022</v>
      </c>
      <c r="AC1278">
        <v>15</v>
      </c>
      <c r="AD1278">
        <f ca="1">IF(ISERROR(VLOOKUP(Table1[[#This Row],[item]],INDIRECT("'"&amp;Table1[[#This Row],[sheet]]&amp;"'!$A$8:$T$42"),Table1[[#This Row],[r]],FALSE)),"",VLOOKUP(Table1[[#This Row],[item]],INDIRECT("'"&amp;Table1[[#This Row],[sheet]]&amp;"'!$A$8:$T$42"),Table1[[#This Row],[r]],FALSE))</f>
        <v>129505.05</v>
      </c>
      <c r="AE1278">
        <f>IF(VLOOKUP(Table1[[#This Row],[sheet]],Prg!$A$7:$J$31,10,FALSE)="","",VLOOKUP(Table1[[#This Row],[sheet]],Prg!$A$7:$J$31,10,FALSE)*1)</f>
        <v>2</v>
      </c>
      <c r="AF1278" t="str">
        <f>VLOOKUP(Table1[[#This Row],[sheet]],Prg!$A$7:$J$31,5,FALSE)</f>
        <v>R - ASIA - FAR EAST AREA</v>
      </c>
      <c r="AG1278">
        <f>ROW()</f>
        <v>1278</v>
      </c>
    </row>
    <row r="1279" spans="24:33" hidden="1" x14ac:dyDescent="0.25">
      <c r="X1279">
        <v>8</v>
      </c>
      <c r="Y1279" t="s">
        <v>766</v>
      </c>
      <c r="Z1279" t="s">
        <v>767</v>
      </c>
      <c r="AA1279" t="str">
        <f>IF(OR(VLOOKUP(Table1[[#This Row],[sheet]],Prg!$A$7:$F$31,6,FALSE)=Prg!$O$2,VLOOKUP(Table1[[#This Row],[sheet]],Prg!$A$7:$F$31,6,FALSE)=Prg!$O$3),"Yes","No")</f>
        <v>Yes</v>
      </c>
      <c r="AB1279">
        <v>2022</v>
      </c>
      <c r="AC1279">
        <v>15</v>
      </c>
      <c r="AD1279">
        <f ca="1">IF(ISERROR(VLOOKUP(Table1[[#This Row],[item]],INDIRECT("'"&amp;Table1[[#This Row],[sheet]]&amp;"'!$A$8:$T$42"),Table1[[#This Row],[r]],FALSE)),"",VLOOKUP(Table1[[#This Row],[item]],INDIRECT("'"&amp;Table1[[#This Row],[sheet]]&amp;"'!$A$8:$T$42"),Table1[[#This Row],[r]],FALSE))</f>
        <v>441437.65</v>
      </c>
      <c r="AE1279">
        <f>IF(VLOOKUP(Table1[[#This Row],[sheet]],Prg!$A$7:$J$31,10,FALSE)="","",VLOOKUP(Table1[[#This Row],[sheet]],Prg!$A$7:$J$31,10,FALSE)*1)</f>
        <v>2</v>
      </c>
      <c r="AF1279" t="str">
        <f>VLOOKUP(Table1[[#This Row],[sheet]],Prg!$A$7:$J$31,5,FALSE)</f>
        <v>R - ASIA - FAR EAST AREA</v>
      </c>
      <c r="AG1279">
        <f>ROW()</f>
        <v>1279</v>
      </c>
    </row>
    <row r="1280" spans="24:33" hidden="1" x14ac:dyDescent="0.25">
      <c r="X1280">
        <v>8</v>
      </c>
      <c r="Y1280" t="s">
        <v>768</v>
      </c>
      <c r="Z1280" t="s">
        <v>182</v>
      </c>
      <c r="AA1280" t="str">
        <f>IF(OR(VLOOKUP(Table1[[#This Row],[sheet]],Prg!$A$7:$F$31,6,FALSE)=Prg!$O$2,VLOOKUP(Table1[[#This Row],[sheet]],Prg!$A$7:$F$31,6,FALSE)=Prg!$O$3),"Yes","No")</f>
        <v>Yes</v>
      </c>
      <c r="AB1280">
        <v>2022</v>
      </c>
      <c r="AC1280">
        <v>15</v>
      </c>
      <c r="AD1280">
        <f ca="1">IF(ISERROR(VLOOKUP(Table1[[#This Row],[item]],INDIRECT("'"&amp;Table1[[#This Row],[sheet]]&amp;"'!$A$8:$T$42"),Table1[[#This Row],[r]],FALSE)),"",VLOOKUP(Table1[[#This Row],[item]],INDIRECT("'"&amp;Table1[[#This Row],[sheet]]&amp;"'!$A$8:$T$42"),Table1[[#This Row],[r]],FALSE))</f>
        <v>12000</v>
      </c>
      <c r="AE1280">
        <f>IF(VLOOKUP(Table1[[#This Row],[sheet]],Prg!$A$7:$J$31,10,FALSE)="","",VLOOKUP(Table1[[#This Row],[sheet]],Prg!$A$7:$J$31,10,FALSE)*1)</f>
        <v>2</v>
      </c>
      <c r="AF1280" t="str">
        <f>VLOOKUP(Table1[[#This Row],[sheet]],Prg!$A$7:$J$31,5,FALSE)</f>
        <v>R - ASIA - FAR EAST AREA</v>
      </c>
      <c r="AG1280">
        <f>ROW()</f>
        <v>1280</v>
      </c>
    </row>
    <row r="1281" spans="24:33" hidden="1" x14ac:dyDescent="0.25">
      <c r="X1281">
        <v>8</v>
      </c>
      <c r="Y1281" t="s">
        <v>769</v>
      </c>
      <c r="Z1281" t="s">
        <v>184</v>
      </c>
      <c r="AA1281" t="str">
        <f>IF(OR(VLOOKUP(Table1[[#This Row],[sheet]],Prg!$A$7:$F$31,6,FALSE)=Prg!$O$2,VLOOKUP(Table1[[#This Row],[sheet]],Prg!$A$7:$F$31,6,FALSE)=Prg!$O$3),"Yes","No")</f>
        <v>Yes</v>
      </c>
      <c r="AB1281">
        <v>2022</v>
      </c>
      <c r="AC1281">
        <v>15</v>
      </c>
      <c r="AD1281">
        <f ca="1">IF(ISERROR(VLOOKUP(Table1[[#This Row],[item]],INDIRECT("'"&amp;Table1[[#This Row],[sheet]]&amp;"'!$A$8:$T$42"),Table1[[#This Row],[r]],FALSE)),"",VLOOKUP(Table1[[#This Row],[item]],INDIRECT("'"&amp;Table1[[#This Row],[sheet]]&amp;"'!$A$8:$T$42"),Table1[[#This Row],[r]],FALSE))</f>
        <v>0</v>
      </c>
      <c r="AE1281">
        <f>IF(VLOOKUP(Table1[[#This Row],[sheet]],Prg!$A$7:$J$31,10,FALSE)="","",VLOOKUP(Table1[[#This Row],[sheet]],Prg!$A$7:$J$31,10,FALSE)*1)</f>
        <v>2</v>
      </c>
      <c r="AF1281" t="str">
        <f>VLOOKUP(Table1[[#This Row],[sheet]],Prg!$A$7:$J$31,5,FALSE)</f>
        <v>R - ASIA - FAR EAST AREA</v>
      </c>
      <c r="AG1281">
        <f>ROW()</f>
        <v>1281</v>
      </c>
    </row>
    <row r="1282" spans="24:33" hidden="1" x14ac:dyDescent="0.25">
      <c r="X1282">
        <v>8</v>
      </c>
      <c r="Y1282" t="s">
        <v>770</v>
      </c>
      <c r="Z1282" t="s">
        <v>186</v>
      </c>
      <c r="AA1282" t="str">
        <f>IF(OR(VLOOKUP(Table1[[#This Row],[sheet]],Prg!$A$7:$F$31,6,FALSE)=Prg!$O$2,VLOOKUP(Table1[[#This Row],[sheet]],Prg!$A$7:$F$31,6,FALSE)=Prg!$O$3),"Yes","No")</f>
        <v>Yes</v>
      </c>
      <c r="AB1282">
        <v>2022</v>
      </c>
      <c r="AC1282">
        <v>15</v>
      </c>
      <c r="AD1282">
        <f ca="1">IF(ISERROR(VLOOKUP(Table1[[#This Row],[item]],INDIRECT("'"&amp;Table1[[#This Row],[sheet]]&amp;"'!$A$8:$T$42"),Table1[[#This Row],[r]],FALSE)),"",VLOOKUP(Table1[[#This Row],[item]],INDIRECT("'"&amp;Table1[[#This Row],[sheet]]&amp;"'!$A$8:$T$42"),Table1[[#This Row],[r]],FALSE))</f>
        <v>12000</v>
      </c>
      <c r="AE1282">
        <f>IF(VLOOKUP(Table1[[#This Row],[sheet]],Prg!$A$7:$J$31,10,FALSE)="","",VLOOKUP(Table1[[#This Row],[sheet]],Prg!$A$7:$J$31,10,FALSE)*1)</f>
        <v>2</v>
      </c>
      <c r="AF1282" t="str">
        <f>VLOOKUP(Table1[[#This Row],[sheet]],Prg!$A$7:$J$31,5,FALSE)</f>
        <v>R - ASIA - FAR EAST AREA</v>
      </c>
      <c r="AG1282">
        <f>ROW()</f>
        <v>1282</v>
      </c>
    </row>
    <row r="1283" spans="24:33" hidden="1" x14ac:dyDescent="0.25">
      <c r="X1283">
        <v>8</v>
      </c>
      <c r="Y1283" t="s">
        <v>771</v>
      </c>
      <c r="Z1283" t="s">
        <v>772</v>
      </c>
      <c r="AA1283" t="str">
        <f>IF(OR(VLOOKUP(Table1[[#This Row],[sheet]],Prg!$A$7:$F$31,6,FALSE)=Prg!$O$2,VLOOKUP(Table1[[#This Row],[sheet]],Prg!$A$7:$F$31,6,FALSE)=Prg!$O$3),"Yes","No")</f>
        <v>Yes</v>
      </c>
      <c r="AB1283">
        <v>2022</v>
      </c>
      <c r="AC1283">
        <v>15</v>
      </c>
      <c r="AD1283">
        <f ca="1">IF(ISERROR(VLOOKUP(Table1[[#This Row],[item]],INDIRECT("'"&amp;Table1[[#This Row],[sheet]]&amp;"'!$A$8:$T$42"),Table1[[#This Row],[r]],FALSE)),"",VLOOKUP(Table1[[#This Row],[item]],INDIRECT("'"&amp;Table1[[#This Row],[sheet]]&amp;"'!$A$8:$T$42"),Table1[[#This Row],[r]],FALSE))</f>
        <v>0</v>
      </c>
      <c r="AE1283">
        <f>IF(VLOOKUP(Table1[[#This Row],[sheet]],Prg!$A$7:$J$31,10,FALSE)="","",VLOOKUP(Table1[[#This Row],[sheet]],Prg!$A$7:$J$31,10,FALSE)*1)</f>
        <v>2</v>
      </c>
      <c r="AF1283" t="str">
        <f>VLOOKUP(Table1[[#This Row],[sheet]],Prg!$A$7:$J$31,5,FALSE)</f>
        <v>R - ASIA - FAR EAST AREA</v>
      </c>
      <c r="AG1283">
        <f>ROW()</f>
        <v>1283</v>
      </c>
    </row>
    <row r="1284" spans="24:33" hidden="1" x14ac:dyDescent="0.25">
      <c r="X1284">
        <v>8</v>
      </c>
      <c r="Y1284" t="s">
        <v>773</v>
      </c>
      <c r="Z1284" t="s">
        <v>190</v>
      </c>
      <c r="AA1284" t="str">
        <f>IF(OR(VLOOKUP(Table1[[#This Row],[sheet]],Prg!$A$7:$F$31,6,FALSE)=Prg!$O$2,VLOOKUP(Table1[[#This Row],[sheet]],Prg!$A$7:$F$31,6,FALSE)=Prg!$O$3),"Yes","No")</f>
        <v>Yes</v>
      </c>
      <c r="AB1284">
        <v>2022</v>
      </c>
      <c r="AC1284">
        <v>15</v>
      </c>
      <c r="AD1284">
        <f ca="1">IF(ISERROR(VLOOKUP(Table1[[#This Row],[item]],INDIRECT("'"&amp;Table1[[#This Row],[sheet]]&amp;"'!$A$8:$T$42"),Table1[[#This Row],[r]],FALSE)),"",VLOOKUP(Table1[[#This Row],[item]],INDIRECT("'"&amp;Table1[[#This Row],[sheet]]&amp;"'!$A$8:$T$42"),Table1[[#This Row],[r]],FALSE))</f>
        <v>1970079.88</v>
      </c>
      <c r="AE1284">
        <f>IF(VLOOKUP(Table1[[#This Row],[sheet]],Prg!$A$7:$J$31,10,FALSE)="","",VLOOKUP(Table1[[#This Row],[sheet]],Prg!$A$7:$J$31,10,FALSE)*1)</f>
        <v>2</v>
      </c>
      <c r="AF1284" t="str">
        <f>VLOOKUP(Table1[[#This Row],[sheet]],Prg!$A$7:$J$31,5,FALSE)</f>
        <v>R - ASIA - FAR EAST AREA</v>
      </c>
      <c r="AG1284">
        <f>ROW()</f>
        <v>1284</v>
      </c>
    </row>
    <row r="1285" spans="24:33" hidden="1" x14ac:dyDescent="0.25">
      <c r="X1285">
        <v>8</v>
      </c>
      <c r="Y1285" t="s">
        <v>709</v>
      </c>
      <c r="Z1285" t="s">
        <v>192</v>
      </c>
      <c r="AA1285" t="str">
        <f>IF(OR(VLOOKUP(Table1[[#This Row],[sheet]],Prg!$A$7:$F$31,6,FALSE)=Prg!$O$2,VLOOKUP(Table1[[#This Row],[sheet]],Prg!$A$7:$F$31,6,FALSE)=Prg!$O$3),"Yes","No")</f>
        <v>Yes</v>
      </c>
      <c r="AB1285">
        <v>2022</v>
      </c>
      <c r="AC1285">
        <v>15</v>
      </c>
      <c r="AD1285">
        <f ca="1">IF(ISERROR(VLOOKUP(Table1[[#This Row],[item]],INDIRECT("'"&amp;Table1[[#This Row],[sheet]]&amp;"'!$A$8:$T$42"),Table1[[#This Row],[r]],FALSE)),"",VLOOKUP(Table1[[#This Row],[item]],INDIRECT("'"&amp;Table1[[#This Row],[sheet]]&amp;"'!$A$8:$T$42"),Table1[[#This Row],[r]],FALSE))</f>
        <v>102788</v>
      </c>
      <c r="AE1285">
        <f>IF(VLOOKUP(Table1[[#This Row],[sheet]],Prg!$A$7:$J$31,10,FALSE)="","",VLOOKUP(Table1[[#This Row],[sheet]],Prg!$A$7:$J$31,10,FALSE)*1)</f>
        <v>2</v>
      </c>
      <c r="AF1285" t="str">
        <f>VLOOKUP(Table1[[#This Row],[sheet]],Prg!$A$7:$J$31,5,FALSE)</f>
        <v>R - ASIA - FAR EAST AREA</v>
      </c>
      <c r="AG1285">
        <f>ROW()</f>
        <v>1285</v>
      </c>
    </row>
    <row r="1286" spans="24:33" hidden="1" x14ac:dyDescent="0.25">
      <c r="X1286">
        <v>8</v>
      </c>
      <c r="Y1286" t="s">
        <v>774</v>
      </c>
      <c r="Z1286" t="s">
        <v>194</v>
      </c>
      <c r="AA1286" t="str">
        <f>IF(OR(VLOOKUP(Table1[[#This Row],[sheet]],Prg!$A$7:$F$31,6,FALSE)=Prg!$O$2,VLOOKUP(Table1[[#This Row],[sheet]],Prg!$A$7:$F$31,6,FALSE)=Prg!$O$3),"Yes","No")</f>
        <v>Yes</v>
      </c>
      <c r="AB1286">
        <v>2022</v>
      </c>
      <c r="AC1286">
        <v>15</v>
      </c>
      <c r="AD1286">
        <f ca="1">IF(ISERROR(VLOOKUP(Table1[[#This Row],[item]],INDIRECT("'"&amp;Table1[[#This Row],[sheet]]&amp;"'!$A$8:$T$42"),Table1[[#This Row],[r]],FALSE)),"",VLOOKUP(Table1[[#This Row],[item]],INDIRECT("'"&amp;Table1[[#This Row],[sheet]]&amp;"'!$A$8:$T$42"),Table1[[#This Row],[r]],FALSE))</f>
        <v>1305</v>
      </c>
      <c r="AE1286">
        <f>IF(VLOOKUP(Table1[[#This Row],[sheet]],Prg!$A$7:$J$31,10,FALSE)="","",VLOOKUP(Table1[[#This Row],[sheet]],Prg!$A$7:$J$31,10,FALSE)*1)</f>
        <v>2</v>
      </c>
      <c r="AF1286" t="str">
        <f>VLOOKUP(Table1[[#This Row],[sheet]],Prg!$A$7:$J$31,5,FALSE)</f>
        <v>R - ASIA - FAR EAST AREA</v>
      </c>
      <c r="AG1286">
        <f>ROW()</f>
        <v>1286</v>
      </c>
    </row>
    <row r="1287" spans="24:33" hidden="1" x14ac:dyDescent="0.25">
      <c r="X1287">
        <v>8</v>
      </c>
      <c r="Y1287" t="s">
        <v>775</v>
      </c>
      <c r="Z1287" t="s">
        <v>196</v>
      </c>
      <c r="AA1287" t="str">
        <f>IF(OR(VLOOKUP(Table1[[#This Row],[sheet]],Prg!$A$7:$F$31,6,FALSE)=Prg!$O$2,VLOOKUP(Table1[[#This Row],[sheet]],Prg!$A$7:$F$31,6,FALSE)=Prg!$O$3),"Yes","No")</f>
        <v>Yes</v>
      </c>
      <c r="AB1287">
        <v>2022</v>
      </c>
      <c r="AC1287">
        <v>15</v>
      </c>
      <c r="AD1287">
        <f ca="1">IF(ISERROR(VLOOKUP(Table1[[#This Row],[item]],INDIRECT("'"&amp;Table1[[#This Row],[sheet]]&amp;"'!$A$8:$T$42"),Table1[[#This Row],[r]],FALSE)),"",VLOOKUP(Table1[[#This Row],[item]],INDIRECT("'"&amp;Table1[[#This Row],[sheet]]&amp;"'!$A$8:$T$42"),Table1[[#This Row],[r]],FALSE))</f>
        <v>100720</v>
      </c>
      <c r="AE1287">
        <f>IF(VLOOKUP(Table1[[#This Row],[sheet]],Prg!$A$7:$J$31,10,FALSE)="","",VLOOKUP(Table1[[#This Row],[sheet]],Prg!$A$7:$J$31,10,FALSE)*1)</f>
        <v>2</v>
      </c>
      <c r="AF1287" t="str">
        <f>VLOOKUP(Table1[[#This Row],[sheet]],Prg!$A$7:$J$31,5,FALSE)</f>
        <v>R - ASIA - FAR EAST AREA</v>
      </c>
      <c r="AG1287">
        <f>ROW()</f>
        <v>1287</v>
      </c>
    </row>
    <row r="1288" spans="24:33" hidden="1" x14ac:dyDescent="0.25">
      <c r="X1288">
        <v>8</v>
      </c>
      <c r="Y1288" t="s">
        <v>776</v>
      </c>
      <c r="Z1288" t="s">
        <v>605</v>
      </c>
      <c r="AA1288" t="str">
        <f>IF(OR(VLOOKUP(Table1[[#This Row],[sheet]],Prg!$A$7:$F$31,6,FALSE)=Prg!$O$2,VLOOKUP(Table1[[#This Row],[sheet]],Prg!$A$7:$F$31,6,FALSE)=Prg!$O$3),"Yes","No")</f>
        <v>Yes</v>
      </c>
      <c r="AB1288">
        <v>2022</v>
      </c>
      <c r="AC1288">
        <v>15</v>
      </c>
      <c r="AD1288">
        <f ca="1">IF(ISERROR(VLOOKUP(Table1[[#This Row],[item]],INDIRECT("'"&amp;Table1[[#This Row],[sheet]]&amp;"'!$A$8:$T$42"),Table1[[#This Row],[r]],FALSE)),"",VLOOKUP(Table1[[#This Row],[item]],INDIRECT("'"&amp;Table1[[#This Row],[sheet]]&amp;"'!$A$8:$T$42"),Table1[[#This Row],[r]],FALSE))</f>
        <v>763</v>
      </c>
      <c r="AE1288">
        <f>IF(VLOOKUP(Table1[[#This Row],[sheet]],Prg!$A$7:$J$31,10,FALSE)="","",VLOOKUP(Table1[[#This Row],[sheet]],Prg!$A$7:$J$31,10,FALSE)*1)</f>
        <v>2</v>
      </c>
      <c r="AF1288" t="str">
        <f>VLOOKUP(Table1[[#This Row],[sheet]],Prg!$A$7:$J$31,5,FALSE)</f>
        <v>R - ASIA - FAR EAST AREA</v>
      </c>
      <c r="AG1288">
        <f>ROW()</f>
        <v>1288</v>
      </c>
    </row>
    <row r="1289" spans="24:33" hidden="1" x14ac:dyDescent="0.25">
      <c r="X1289">
        <v>8</v>
      </c>
      <c r="Y1289" t="s">
        <v>711</v>
      </c>
      <c r="Z1289" t="s">
        <v>200</v>
      </c>
      <c r="AA1289" t="str">
        <f>IF(OR(VLOOKUP(Table1[[#This Row],[sheet]],Prg!$A$7:$F$31,6,FALSE)=Prg!$O$2,VLOOKUP(Table1[[#This Row],[sheet]],Prg!$A$7:$F$31,6,FALSE)=Prg!$O$3),"Yes","No")</f>
        <v>Yes</v>
      </c>
      <c r="AB1289">
        <v>2022</v>
      </c>
      <c r="AC1289">
        <v>15</v>
      </c>
      <c r="AD1289">
        <f ca="1">IF(ISERROR(VLOOKUP(Table1[[#This Row],[item]],INDIRECT("'"&amp;Table1[[#This Row],[sheet]]&amp;"'!$A$8:$T$42"),Table1[[#This Row],[r]],FALSE)),"",VLOOKUP(Table1[[#This Row],[item]],INDIRECT("'"&amp;Table1[[#This Row],[sheet]]&amp;"'!$A$8:$T$42"),Table1[[#This Row],[r]],FALSE))</f>
        <v>1048892.75</v>
      </c>
      <c r="AE1289">
        <f>IF(VLOOKUP(Table1[[#This Row],[sheet]],Prg!$A$7:$J$31,10,FALSE)="","",VLOOKUP(Table1[[#This Row],[sheet]],Prg!$A$7:$J$31,10,FALSE)*1)</f>
        <v>2</v>
      </c>
      <c r="AF1289" t="str">
        <f>VLOOKUP(Table1[[#This Row],[sheet]],Prg!$A$7:$J$31,5,FALSE)</f>
        <v>R - ASIA - FAR EAST AREA</v>
      </c>
      <c r="AG1289">
        <f>ROW()</f>
        <v>1289</v>
      </c>
    </row>
    <row r="1290" spans="24:33" hidden="1" x14ac:dyDescent="0.25">
      <c r="X1290">
        <v>8</v>
      </c>
      <c r="Y1290" t="s">
        <v>777</v>
      </c>
      <c r="Z1290" t="s">
        <v>202</v>
      </c>
      <c r="AA1290" t="str">
        <f>IF(OR(VLOOKUP(Table1[[#This Row],[sheet]],Prg!$A$7:$F$31,6,FALSE)=Prg!$O$2,VLOOKUP(Table1[[#This Row],[sheet]],Prg!$A$7:$F$31,6,FALSE)=Prg!$O$3),"Yes","No")</f>
        <v>Yes</v>
      </c>
      <c r="AB1290">
        <v>2022</v>
      </c>
      <c r="AC1290">
        <v>15</v>
      </c>
      <c r="AD1290">
        <f ca="1">IF(ISERROR(VLOOKUP(Table1[[#This Row],[item]],INDIRECT("'"&amp;Table1[[#This Row],[sheet]]&amp;"'!$A$8:$T$42"),Table1[[#This Row],[r]],FALSE)),"",VLOOKUP(Table1[[#This Row],[item]],INDIRECT("'"&amp;Table1[[#This Row],[sheet]]&amp;"'!$A$8:$T$42"),Table1[[#This Row],[r]],FALSE))</f>
        <v>32980</v>
      </c>
      <c r="AE1290">
        <f>IF(VLOOKUP(Table1[[#This Row],[sheet]],Prg!$A$7:$J$31,10,FALSE)="","",VLOOKUP(Table1[[#This Row],[sheet]],Prg!$A$7:$J$31,10,FALSE)*1)</f>
        <v>2</v>
      </c>
      <c r="AF1290" t="str">
        <f>VLOOKUP(Table1[[#This Row],[sheet]],Prg!$A$7:$J$31,5,FALSE)</f>
        <v>R - ASIA - FAR EAST AREA</v>
      </c>
      <c r="AG1290">
        <f>ROW()</f>
        <v>1290</v>
      </c>
    </row>
    <row r="1291" spans="24:33" hidden="1" x14ac:dyDescent="0.25">
      <c r="X1291">
        <v>8</v>
      </c>
      <c r="Y1291" t="s">
        <v>778</v>
      </c>
      <c r="Z1291" t="s">
        <v>204</v>
      </c>
      <c r="AA1291" t="str">
        <f>IF(OR(VLOOKUP(Table1[[#This Row],[sheet]],Prg!$A$7:$F$31,6,FALSE)=Prg!$O$2,VLOOKUP(Table1[[#This Row],[sheet]],Prg!$A$7:$F$31,6,FALSE)=Prg!$O$3),"Yes","No")</f>
        <v>Yes</v>
      </c>
      <c r="AB1291">
        <v>2022</v>
      </c>
      <c r="AC1291">
        <v>15</v>
      </c>
      <c r="AD1291">
        <f ca="1">IF(ISERROR(VLOOKUP(Table1[[#This Row],[item]],INDIRECT("'"&amp;Table1[[#This Row],[sheet]]&amp;"'!$A$8:$T$42"),Table1[[#This Row],[r]],FALSE)),"",VLOOKUP(Table1[[#This Row],[item]],INDIRECT("'"&amp;Table1[[#This Row],[sheet]]&amp;"'!$A$8:$T$42"),Table1[[#This Row],[r]],FALSE))</f>
        <v>114657.1</v>
      </c>
      <c r="AE1291">
        <f>IF(VLOOKUP(Table1[[#This Row],[sheet]],Prg!$A$7:$J$31,10,FALSE)="","",VLOOKUP(Table1[[#This Row],[sheet]],Prg!$A$7:$J$31,10,FALSE)*1)</f>
        <v>2</v>
      </c>
      <c r="AF1291" t="str">
        <f>VLOOKUP(Table1[[#This Row],[sheet]],Prg!$A$7:$J$31,5,FALSE)</f>
        <v>R - ASIA - FAR EAST AREA</v>
      </c>
      <c r="AG1291">
        <f>ROW()</f>
        <v>1291</v>
      </c>
    </row>
    <row r="1292" spans="24:33" hidden="1" x14ac:dyDescent="0.25">
      <c r="X1292">
        <v>8</v>
      </c>
      <c r="Y1292" t="s">
        <v>779</v>
      </c>
      <c r="Z1292" t="s">
        <v>605</v>
      </c>
      <c r="AA1292" t="str">
        <f>IF(OR(VLOOKUP(Table1[[#This Row],[sheet]],Prg!$A$7:$F$31,6,FALSE)=Prg!$O$2,VLOOKUP(Table1[[#This Row],[sheet]],Prg!$A$7:$F$31,6,FALSE)=Prg!$O$3),"Yes","No")</f>
        <v>Yes</v>
      </c>
      <c r="AB1292">
        <v>2022</v>
      </c>
      <c r="AC1292">
        <v>15</v>
      </c>
      <c r="AD1292">
        <f ca="1">IF(ISERROR(VLOOKUP(Table1[[#This Row],[item]],INDIRECT("'"&amp;Table1[[#This Row],[sheet]]&amp;"'!$A$8:$T$42"),Table1[[#This Row],[r]],FALSE)),"",VLOOKUP(Table1[[#This Row],[item]],INDIRECT("'"&amp;Table1[[#This Row],[sheet]]&amp;"'!$A$8:$T$42"),Table1[[#This Row],[r]],FALSE))</f>
        <v>901255.65</v>
      </c>
      <c r="AE1292">
        <f>IF(VLOOKUP(Table1[[#This Row],[sheet]],Prg!$A$7:$J$31,10,FALSE)="","",VLOOKUP(Table1[[#This Row],[sheet]],Prg!$A$7:$J$31,10,FALSE)*1)</f>
        <v>2</v>
      </c>
      <c r="AF1292" t="str">
        <f>VLOOKUP(Table1[[#This Row],[sheet]],Prg!$A$7:$J$31,5,FALSE)</f>
        <v>R - ASIA - FAR EAST AREA</v>
      </c>
      <c r="AG1292">
        <f>ROW()</f>
        <v>1292</v>
      </c>
    </row>
    <row r="1293" spans="24:33" hidden="1" x14ac:dyDescent="0.25">
      <c r="X1293">
        <v>8</v>
      </c>
      <c r="Y1293" t="s">
        <v>712</v>
      </c>
      <c r="Z1293" t="s">
        <v>780</v>
      </c>
      <c r="AA1293" t="str">
        <f>IF(OR(VLOOKUP(Table1[[#This Row],[sheet]],Prg!$A$7:$F$31,6,FALSE)=Prg!$O$2,VLOOKUP(Table1[[#This Row],[sheet]],Prg!$A$7:$F$31,6,FALSE)=Prg!$O$3),"Yes","No")</f>
        <v>Yes</v>
      </c>
      <c r="AB1293">
        <v>2022</v>
      </c>
      <c r="AC1293">
        <v>15</v>
      </c>
      <c r="AD1293">
        <f ca="1">IF(ISERROR(VLOOKUP(Table1[[#This Row],[item]],INDIRECT("'"&amp;Table1[[#This Row],[sheet]]&amp;"'!$A$8:$T$42"),Table1[[#This Row],[r]],FALSE)),"",VLOOKUP(Table1[[#This Row],[item]],INDIRECT("'"&amp;Table1[[#This Row],[sheet]]&amp;"'!$A$8:$T$42"),Table1[[#This Row],[r]],FALSE))</f>
        <v>818399.13</v>
      </c>
      <c r="AE1293">
        <f>IF(VLOOKUP(Table1[[#This Row],[sheet]],Prg!$A$7:$J$31,10,FALSE)="","",VLOOKUP(Table1[[#This Row],[sheet]],Prg!$A$7:$J$31,10,FALSE)*1)</f>
        <v>2</v>
      </c>
      <c r="AF1293" t="str">
        <f>VLOOKUP(Table1[[#This Row],[sheet]],Prg!$A$7:$J$31,5,FALSE)</f>
        <v>R - ASIA - FAR EAST AREA</v>
      </c>
      <c r="AG1293">
        <f>ROW()</f>
        <v>1293</v>
      </c>
    </row>
    <row r="1294" spans="24:33" hidden="1" x14ac:dyDescent="0.25">
      <c r="X1294">
        <v>8</v>
      </c>
      <c r="Y1294" t="s">
        <v>781</v>
      </c>
      <c r="Z1294" t="s">
        <v>782</v>
      </c>
      <c r="AA1294" t="str">
        <f>IF(OR(VLOOKUP(Table1[[#This Row],[sheet]],Prg!$A$7:$F$31,6,FALSE)=Prg!$O$2,VLOOKUP(Table1[[#This Row],[sheet]],Prg!$A$7:$F$31,6,FALSE)=Prg!$O$3),"Yes","No")</f>
        <v>Yes</v>
      </c>
      <c r="AB1294">
        <v>2022</v>
      </c>
      <c r="AC1294">
        <v>15</v>
      </c>
      <c r="AD1294">
        <f ca="1">IF(ISERROR(VLOOKUP(Table1[[#This Row],[item]],INDIRECT("'"&amp;Table1[[#This Row],[sheet]]&amp;"'!$A$8:$T$42"),Table1[[#This Row],[r]],FALSE)),"",VLOOKUP(Table1[[#This Row],[item]],INDIRECT("'"&amp;Table1[[#This Row],[sheet]]&amp;"'!$A$8:$T$42"),Table1[[#This Row],[r]],FALSE))</f>
        <v>0</v>
      </c>
      <c r="AE1294">
        <f>IF(VLOOKUP(Table1[[#This Row],[sheet]],Prg!$A$7:$J$31,10,FALSE)="","",VLOOKUP(Table1[[#This Row],[sheet]],Prg!$A$7:$J$31,10,FALSE)*1)</f>
        <v>2</v>
      </c>
      <c r="AF1294" t="str">
        <f>VLOOKUP(Table1[[#This Row],[sheet]],Prg!$A$7:$J$31,5,FALSE)</f>
        <v>R - ASIA - FAR EAST AREA</v>
      </c>
      <c r="AG1294">
        <f>ROW()</f>
        <v>1294</v>
      </c>
    </row>
    <row r="1295" spans="24:33" hidden="1" x14ac:dyDescent="0.25">
      <c r="X1295">
        <v>8</v>
      </c>
      <c r="Y1295" t="s">
        <v>783</v>
      </c>
      <c r="Z1295" t="s">
        <v>784</v>
      </c>
      <c r="AA1295" t="str">
        <f>IF(OR(VLOOKUP(Table1[[#This Row],[sheet]],Prg!$A$7:$F$31,6,FALSE)=Prg!$O$2,VLOOKUP(Table1[[#This Row],[sheet]],Prg!$A$7:$F$31,6,FALSE)=Prg!$O$3),"Yes","No")</f>
        <v>Yes</v>
      </c>
      <c r="AB1295">
        <v>2022</v>
      </c>
      <c r="AC1295">
        <v>15</v>
      </c>
      <c r="AD1295">
        <f ca="1">IF(ISERROR(VLOOKUP(Table1[[#This Row],[item]],INDIRECT("'"&amp;Table1[[#This Row],[sheet]]&amp;"'!$A$8:$T$42"),Table1[[#This Row],[r]],FALSE)),"",VLOOKUP(Table1[[#This Row],[item]],INDIRECT("'"&amp;Table1[[#This Row],[sheet]]&amp;"'!$A$8:$T$42"),Table1[[#This Row],[r]],FALSE))</f>
        <v>18408</v>
      </c>
      <c r="AE1295">
        <f>IF(VLOOKUP(Table1[[#This Row],[sheet]],Prg!$A$7:$J$31,10,FALSE)="","",VLOOKUP(Table1[[#This Row],[sheet]],Prg!$A$7:$J$31,10,FALSE)*1)</f>
        <v>2</v>
      </c>
      <c r="AF1295" t="str">
        <f>VLOOKUP(Table1[[#This Row],[sheet]],Prg!$A$7:$J$31,5,FALSE)</f>
        <v>R - ASIA - FAR EAST AREA</v>
      </c>
      <c r="AG1295">
        <f>ROW()</f>
        <v>1295</v>
      </c>
    </row>
    <row r="1296" spans="24:33" hidden="1" x14ac:dyDescent="0.25">
      <c r="X1296">
        <v>8</v>
      </c>
      <c r="Y1296" t="s">
        <v>785</v>
      </c>
      <c r="Z1296" t="s">
        <v>786</v>
      </c>
      <c r="AA1296" t="str">
        <f>IF(OR(VLOOKUP(Table1[[#This Row],[sheet]],Prg!$A$7:$F$31,6,FALSE)=Prg!$O$2,VLOOKUP(Table1[[#This Row],[sheet]],Prg!$A$7:$F$31,6,FALSE)=Prg!$O$3),"Yes","No")</f>
        <v>Yes</v>
      </c>
      <c r="AB1296">
        <v>2022</v>
      </c>
      <c r="AC1296">
        <v>15</v>
      </c>
      <c r="AD1296">
        <f ca="1">IF(ISERROR(VLOOKUP(Table1[[#This Row],[item]],INDIRECT("'"&amp;Table1[[#This Row],[sheet]]&amp;"'!$A$8:$T$42"),Table1[[#This Row],[r]],FALSE)),"",VLOOKUP(Table1[[#This Row],[item]],INDIRECT("'"&amp;Table1[[#This Row],[sheet]]&amp;"'!$A$8:$T$42"),Table1[[#This Row],[r]],FALSE))</f>
        <v>798174.73</v>
      </c>
      <c r="AE1296">
        <f>IF(VLOOKUP(Table1[[#This Row],[sheet]],Prg!$A$7:$J$31,10,FALSE)="","",VLOOKUP(Table1[[#This Row],[sheet]],Prg!$A$7:$J$31,10,FALSE)*1)</f>
        <v>2</v>
      </c>
      <c r="AF1296" t="str">
        <f>VLOOKUP(Table1[[#This Row],[sheet]],Prg!$A$7:$J$31,5,FALSE)</f>
        <v>R - ASIA - FAR EAST AREA</v>
      </c>
      <c r="AG1296">
        <f>ROW()</f>
        <v>1296</v>
      </c>
    </row>
    <row r="1297" spans="24:33" hidden="1" x14ac:dyDescent="0.25">
      <c r="X1297">
        <v>8</v>
      </c>
      <c r="Y1297" t="s">
        <v>787</v>
      </c>
      <c r="Z1297" t="s">
        <v>633</v>
      </c>
      <c r="AA1297" t="str">
        <f>IF(OR(VLOOKUP(Table1[[#This Row],[sheet]],Prg!$A$7:$F$31,6,FALSE)=Prg!$O$2,VLOOKUP(Table1[[#This Row],[sheet]],Prg!$A$7:$F$31,6,FALSE)=Prg!$O$3),"Yes","No")</f>
        <v>Yes</v>
      </c>
      <c r="AB1297">
        <v>2022</v>
      </c>
      <c r="AC1297">
        <v>15</v>
      </c>
      <c r="AD1297">
        <f ca="1">IF(ISERROR(VLOOKUP(Table1[[#This Row],[item]],INDIRECT("'"&amp;Table1[[#This Row],[sheet]]&amp;"'!$A$8:$T$42"),Table1[[#This Row],[r]],FALSE)),"",VLOOKUP(Table1[[#This Row],[item]],INDIRECT("'"&amp;Table1[[#This Row],[sheet]]&amp;"'!$A$8:$T$42"),Table1[[#This Row],[r]],FALSE))</f>
        <v>1816.4</v>
      </c>
      <c r="AE1297">
        <f>IF(VLOOKUP(Table1[[#This Row],[sheet]],Prg!$A$7:$J$31,10,FALSE)="","",VLOOKUP(Table1[[#This Row],[sheet]],Prg!$A$7:$J$31,10,FALSE)*1)</f>
        <v>2</v>
      </c>
      <c r="AF1297" t="str">
        <f>VLOOKUP(Table1[[#This Row],[sheet]],Prg!$A$7:$J$31,5,FALSE)</f>
        <v>R - ASIA - FAR EAST AREA</v>
      </c>
      <c r="AG1297">
        <f>ROW()</f>
        <v>1297</v>
      </c>
    </row>
    <row r="1298" spans="24:33" hidden="1" x14ac:dyDescent="0.25">
      <c r="X1298">
        <v>8</v>
      </c>
      <c r="Y1298" t="s">
        <v>753</v>
      </c>
      <c r="Z1298" t="s">
        <v>162</v>
      </c>
      <c r="AA1298" t="str">
        <f>IF(OR(VLOOKUP(Table1[[#This Row],[sheet]],Prg!$A$7:$F$31,6,FALSE)=Prg!$O$2,VLOOKUP(Table1[[#This Row],[sheet]],Prg!$A$7:$F$31,6,FALSE)=Prg!$O$3),"Yes","No")</f>
        <v>Yes</v>
      </c>
      <c r="AB1298">
        <v>2023</v>
      </c>
      <c r="AC1298">
        <v>16</v>
      </c>
      <c r="AD1298">
        <f ca="1">IF(ISERROR(VLOOKUP(Table1[[#This Row],[item]],INDIRECT("'"&amp;Table1[[#This Row],[sheet]]&amp;"'!$A$8:$T$42"),Table1[[#This Row],[r]],FALSE)),"",VLOOKUP(Table1[[#This Row],[item]],INDIRECT("'"&amp;Table1[[#This Row],[sheet]]&amp;"'!$A$8:$T$42"),Table1[[#This Row],[r]],FALSE))</f>
        <v>1297815.24</v>
      </c>
      <c r="AE1298">
        <f>IF(VLOOKUP(Table1[[#This Row],[sheet]],Prg!$A$7:$J$31,10,FALSE)="","",VLOOKUP(Table1[[#This Row],[sheet]],Prg!$A$7:$J$31,10,FALSE)*1)</f>
        <v>2</v>
      </c>
      <c r="AF1298" t="str">
        <f>VLOOKUP(Table1[[#This Row],[sheet]],Prg!$A$7:$J$31,5,FALSE)</f>
        <v>R - ASIA - FAR EAST AREA</v>
      </c>
      <c r="AG1298">
        <f>ROW()</f>
        <v>1298</v>
      </c>
    </row>
    <row r="1299" spans="24:33" hidden="1" x14ac:dyDescent="0.25">
      <c r="X1299">
        <v>8</v>
      </c>
      <c r="Y1299" t="s">
        <v>754</v>
      </c>
      <c r="Z1299" t="s">
        <v>164</v>
      </c>
      <c r="AA1299" t="str">
        <f>IF(OR(VLOOKUP(Table1[[#This Row],[sheet]],Prg!$A$7:$F$31,6,FALSE)=Prg!$O$2,VLOOKUP(Table1[[#This Row],[sheet]],Prg!$A$7:$F$31,6,FALSE)=Prg!$O$3),"Yes","No")</f>
        <v>Yes</v>
      </c>
      <c r="AB1299">
        <v>2023</v>
      </c>
      <c r="AC1299">
        <v>16</v>
      </c>
      <c r="AD1299">
        <f ca="1">IF(ISERROR(VLOOKUP(Table1[[#This Row],[item]],INDIRECT("'"&amp;Table1[[#This Row],[sheet]]&amp;"'!$A$8:$T$42"),Table1[[#This Row],[r]],FALSE)),"",VLOOKUP(Table1[[#This Row],[item]],INDIRECT("'"&amp;Table1[[#This Row],[sheet]]&amp;"'!$A$8:$T$42"),Table1[[#This Row],[r]],FALSE))</f>
        <v>18992</v>
      </c>
      <c r="AE1299">
        <f>IF(VLOOKUP(Table1[[#This Row],[sheet]],Prg!$A$7:$J$31,10,FALSE)="","",VLOOKUP(Table1[[#This Row],[sheet]],Prg!$A$7:$J$31,10,FALSE)*1)</f>
        <v>2</v>
      </c>
      <c r="AF1299" t="str">
        <f>VLOOKUP(Table1[[#This Row],[sheet]],Prg!$A$7:$J$31,5,FALSE)</f>
        <v>R - ASIA - FAR EAST AREA</v>
      </c>
      <c r="AG1299">
        <f>ROW()</f>
        <v>1299</v>
      </c>
    </row>
    <row r="1300" spans="24:33" hidden="1" x14ac:dyDescent="0.25">
      <c r="X1300">
        <v>8</v>
      </c>
      <c r="Y1300" t="s">
        <v>755</v>
      </c>
      <c r="Z1300" t="s">
        <v>166</v>
      </c>
      <c r="AA1300" t="str">
        <f>IF(OR(VLOOKUP(Table1[[#This Row],[sheet]],Prg!$A$7:$F$31,6,FALSE)=Prg!$O$2,VLOOKUP(Table1[[#This Row],[sheet]],Prg!$A$7:$F$31,6,FALSE)=Prg!$O$3),"Yes","No")</f>
        <v>Yes</v>
      </c>
      <c r="AB1300">
        <v>2023</v>
      </c>
      <c r="AC1300">
        <v>16</v>
      </c>
      <c r="AD1300">
        <f ca="1">IF(ISERROR(VLOOKUP(Table1[[#This Row],[item]],INDIRECT("'"&amp;Table1[[#This Row],[sheet]]&amp;"'!$A$8:$T$42"),Table1[[#This Row],[r]],FALSE)),"",VLOOKUP(Table1[[#This Row],[item]],INDIRECT("'"&amp;Table1[[#This Row],[sheet]]&amp;"'!$A$8:$T$42"),Table1[[#This Row],[r]],FALSE))</f>
        <v>927523.76</v>
      </c>
      <c r="AE1300">
        <f>IF(VLOOKUP(Table1[[#This Row],[sheet]],Prg!$A$7:$J$31,10,FALSE)="","",VLOOKUP(Table1[[#This Row],[sheet]],Prg!$A$7:$J$31,10,FALSE)*1)</f>
        <v>2</v>
      </c>
      <c r="AF1300" t="str">
        <f>VLOOKUP(Table1[[#This Row],[sheet]],Prg!$A$7:$J$31,5,FALSE)</f>
        <v>R - ASIA - FAR EAST AREA</v>
      </c>
      <c r="AG1300">
        <f>ROW()</f>
        <v>1300</v>
      </c>
    </row>
    <row r="1301" spans="24:33" hidden="1" x14ac:dyDescent="0.25">
      <c r="X1301">
        <v>8</v>
      </c>
      <c r="Y1301" t="s">
        <v>756</v>
      </c>
      <c r="Z1301" t="s">
        <v>757</v>
      </c>
      <c r="AA1301" t="str">
        <f>IF(OR(VLOOKUP(Table1[[#This Row],[sheet]],Prg!$A$7:$F$31,6,FALSE)=Prg!$O$2,VLOOKUP(Table1[[#This Row],[sheet]],Prg!$A$7:$F$31,6,FALSE)=Prg!$O$3),"Yes","No")</f>
        <v>Yes</v>
      </c>
      <c r="AB1301">
        <v>2023</v>
      </c>
      <c r="AC1301">
        <v>16</v>
      </c>
      <c r="AD1301">
        <f ca="1">IF(ISERROR(VLOOKUP(Table1[[#This Row],[item]],INDIRECT("'"&amp;Table1[[#This Row],[sheet]]&amp;"'!$A$8:$T$42"),Table1[[#This Row],[r]],FALSE)),"",VLOOKUP(Table1[[#This Row],[item]],INDIRECT("'"&amp;Table1[[#This Row],[sheet]]&amp;"'!$A$8:$T$42"),Table1[[#This Row],[r]],FALSE))</f>
        <v>351299.48</v>
      </c>
      <c r="AE1301">
        <f>IF(VLOOKUP(Table1[[#This Row],[sheet]],Prg!$A$7:$J$31,10,FALSE)="","",VLOOKUP(Table1[[#This Row],[sheet]],Prg!$A$7:$J$31,10,FALSE)*1)</f>
        <v>2</v>
      </c>
      <c r="AF1301" t="str">
        <f>VLOOKUP(Table1[[#This Row],[sheet]],Prg!$A$7:$J$31,5,FALSE)</f>
        <v>R - ASIA - FAR EAST AREA</v>
      </c>
      <c r="AG1301">
        <f>ROW()</f>
        <v>1301</v>
      </c>
    </row>
    <row r="1302" spans="24:33" hidden="1" x14ac:dyDescent="0.25">
      <c r="X1302">
        <v>8</v>
      </c>
      <c r="Y1302" t="s">
        <v>758</v>
      </c>
      <c r="Z1302" t="s">
        <v>170</v>
      </c>
      <c r="AA1302" t="str">
        <f>IF(OR(VLOOKUP(Table1[[#This Row],[sheet]],Prg!$A$7:$F$31,6,FALSE)=Prg!$O$2,VLOOKUP(Table1[[#This Row],[sheet]],Prg!$A$7:$F$31,6,FALSE)=Prg!$O$3),"Yes","No")</f>
        <v>Yes</v>
      </c>
      <c r="AB1302">
        <v>2023</v>
      </c>
      <c r="AC1302">
        <v>16</v>
      </c>
      <c r="AD1302">
        <f ca="1">IF(ISERROR(VLOOKUP(Table1[[#This Row],[item]],INDIRECT("'"&amp;Table1[[#This Row],[sheet]]&amp;"'!$A$8:$T$42"),Table1[[#This Row],[r]],FALSE)),"",VLOOKUP(Table1[[#This Row],[item]],INDIRECT("'"&amp;Table1[[#This Row],[sheet]]&amp;"'!$A$8:$T$42"),Table1[[#This Row],[r]],FALSE))</f>
        <v>174294.66</v>
      </c>
      <c r="AE1302">
        <f>IF(VLOOKUP(Table1[[#This Row],[sheet]],Prg!$A$7:$J$31,10,FALSE)="","",VLOOKUP(Table1[[#This Row],[sheet]],Prg!$A$7:$J$31,10,FALSE)*1)</f>
        <v>2</v>
      </c>
      <c r="AF1302" t="str">
        <f>VLOOKUP(Table1[[#This Row],[sheet]],Prg!$A$7:$J$31,5,FALSE)</f>
        <v>R - ASIA - FAR EAST AREA</v>
      </c>
      <c r="AG1302">
        <f>ROW()</f>
        <v>1302</v>
      </c>
    </row>
    <row r="1303" spans="24:33" hidden="1" x14ac:dyDescent="0.25">
      <c r="X1303">
        <v>8</v>
      </c>
      <c r="Y1303" t="s">
        <v>759</v>
      </c>
      <c r="Z1303" t="s">
        <v>172</v>
      </c>
      <c r="AA1303" t="str">
        <f>IF(OR(VLOOKUP(Table1[[#This Row],[sheet]],Prg!$A$7:$F$31,6,FALSE)=Prg!$O$2,VLOOKUP(Table1[[#This Row],[sheet]],Prg!$A$7:$F$31,6,FALSE)=Prg!$O$3),"Yes","No")</f>
        <v>Yes</v>
      </c>
      <c r="AB1303">
        <v>2023</v>
      </c>
      <c r="AC1303">
        <v>16</v>
      </c>
      <c r="AD1303">
        <f ca="1">IF(ISERROR(VLOOKUP(Table1[[#This Row],[item]],INDIRECT("'"&amp;Table1[[#This Row],[sheet]]&amp;"'!$A$8:$T$42"),Table1[[#This Row],[r]],FALSE)),"",VLOOKUP(Table1[[#This Row],[item]],INDIRECT("'"&amp;Table1[[#This Row],[sheet]]&amp;"'!$A$8:$T$42"),Table1[[#This Row],[r]],FALSE))</f>
        <v>0</v>
      </c>
      <c r="AE1303">
        <f>IF(VLOOKUP(Table1[[#This Row],[sheet]],Prg!$A$7:$J$31,10,FALSE)="","",VLOOKUP(Table1[[#This Row],[sheet]],Prg!$A$7:$J$31,10,FALSE)*1)</f>
        <v>2</v>
      </c>
      <c r="AF1303" t="str">
        <f>VLOOKUP(Table1[[#This Row],[sheet]],Prg!$A$7:$J$31,5,FALSE)</f>
        <v>R - ASIA - FAR EAST AREA</v>
      </c>
      <c r="AG1303">
        <f>ROW()</f>
        <v>1303</v>
      </c>
    </row>
    <row r="1304" spans="24:33" hidden="1" x14ac:dyDescent="0.25">
      <c r="X1304">
        <v>8</v>
      </c>
      <c r="Y1304" t="s">
        <v>760</v>
      </c>
      <c r="Z1304" t="s">
        <v>174</v>
      </c>
      <c r="AA1304" t="str">
        <f>IF(OR(VLOOKUP(Table1[[#This Row],[sheet]],Prg!$A$7:$F$31,6,FALSE)=Prg!$O$2,VLOOKUP(Table1[[#This Row],[sheet]],Prg!$A$7:$F$31,6,FALSE)=Prg!$O$3),"Yes","No")</f>
        <v>Yes</v>
      </c>
      <c r="AB1304">
        <v>2023</v>
      </c>
      <c r="AC1304">
        <v>16</v>
      </c>
      <c r="AD1304">
        <f ca="1">IF(ISERROR(VLOOKUP(Table1[[#This Row],[item]],INDIRECT("'"&amp;Table1[[#This Row],[sheet]]&amp;"'!$A$8:$T$42"),Table1[[#This Row],[r]],FALSE)),"",VLOOKUP(Table1[[#This Row],[item]],INDIRECT("'"&amp;Table1[[#This Row],[sheet]]&amp;"'!$A$8:$T$42"),Table1[[#This Row],[r]],FALSE))</f>
        <v>136894.66</v>
      </c>
      <c r="AE1304">
        <f>IF(VLOOKUP(Table1[[#This Row],[sheet]],Prg!$A$7:$J$31,10,FALSE)="","",VLOOKUP(Table1[[#This Row],[sheet]],Prg!$A$7:$J$31,10,FALSE)*1)</f>
        <v>2</v>
      </c>
      <c r="AF1304" t="str">
        <f>VLOOKUP(Table1[[#This Row],[sheet]],Prg!$A$7:$J$31,5,FALSE)</f>
        <v>R - ASIA - FAR EAST AREA</v>
      </c>
      <c r="AG1304">
        <f>ROW()</f>
        <v>1304</v>
      </c>
    </row>
    <row r="1305" spans="24:33" hidden="1" x14ac:dyDescent="0.25">
      <c r="X1305">
        <v>8</v>
      </c>
      <c r="Y1305" t="s">
        <v>761</v>
      </c>
      <c r="Z1305" t="s">
        <v>762</v>
      </c>
      <c r="AA1305" t="str">
        <f>IF(OR(VLOOKUP(Table1[[#This Row],[sheet]],Prg!$A$7:$F$31,6,FALSE)=Prg!$O$2,VLOOKUP(Table1[[#This Row],[sheet]],Prg!$A$7:$F$31,6,FALSE)=Prg!$O$3),"Yes","No")</f>
        <v>Yes</v>
      </c>
      <c r="AB1305">
        <v>2023</v>
      </c>
      <c r="AC1305">
        <v>16</v>
      </c>
      <c r="AD1305">
        <f ca="1">IF(ISERROR(VLOOKUP(Table1[[#This Row],[item]],INDIRECT("'"&amp;Table1[[#This Row],[sheet]]&amp;"'!$A$8:$T$42"),Table1[[#This Row],[r]],FALSE)),"",VLOOKUP(Table1[[#This Row],[item]],INDIRECT("'"&amp;Table1[[#This Row],[sheet]]&amp;"'!$A$8:$T$42"),Table1[[#This Row],[r]],FALSE))</f>
        <v>37400</v>
      </c>
      <c r="AE1305">
        <f>IF(VLOOKUP(Table1[[#This Row],[sheet]],Prg!$A$7:$J$31,10,FALSE)="","",VLOOKUP(Table1[[#This Row],[sheet]],Prg!$A$7:$J$31,10,FALSE)*1)</f>
        <v>2</v>
      </c>
      <c r="AF1305" t="str">
        <f>VLOOKUP(Table1[[#This Row],[sheet]],Prg!$A$7:$J$31,5,FALSE)</f>
        <v>R - ASIA - FAR EAST AREA</v>
      </c>
      <c r="AG1305">
        <f>ROW()</f>
        <v>1305</v>
      </c>
    </row>
    <row r="1306" spans="24:33" hidden="1" x14ac:dyDescent="0.25">
      <c r="X1306">
        <v>8</v>
      </c>
      <c r="Y1306" t="s">
        <v>763</v>
      </c>
      <c r="Z1306" t="s">
        <v>178</v>
      </c>
      <c r="AA1306" t="str">
        <f>IF(OR(VLOOKUP(Table1[[#This Row],[sheet]],Prg!$A$7:$F$31,6,FALSE)=Prg!$O$2,VLOOKUP(Table1[[#This Row],[sheet]],Prg!$A$7:$F$31,6,FALSE)=Prg!$O$3),"Yes","No")</f>
        <v>Yes</v>
      </c>
      <c r="AB1306">
        <v>2023</v>
      </c>
      <c r="AC1306">
        <v>16</v>
      </c>
      <c r="AD1306">
        <f ca="1">IF(ISERROR(VLOOKUP(Table1[[#This Row],[item]],INDIRECT("'"&amp;Table1[[#This Row],[sheet]]&amp;"'!$A$8:$T$42"),Table1[[#This Row],[r]],FALSE)),"",VLOOKUP(Table1[[#This Row],[item]],INDIRECT("'"&amp;Table1[[#This Row],[sheet]]&amp;"'!$A$8:$T$42"),Table1[[#This Row],[r]],FALSE))</f>
        <v>689009.87</v>
      </c>
      <c r="AE1306">
        <f>IF(VLOOKUP(Table1[[#This Row],[sheet]],Prg!$A$7:$J$31,10,FALSE)="","",VLOOKUP(Table1[[#This Row],[sheet]],Prg!$A$7:$J$31,10,FALSE)*1)</f>
        <v>2</v>
      </c>
      <c r="AF1306" t="str">
        <f>VLOOKUP(Table1[[#This Row],[sheet]],Prg!$A$7:$J$31,5,FALSE)</f>
        <v>R - ASIA - FAR EAST AREA</v>
      </c>
      <c r="AG1306">
        <f>ROW()</f>
        <v>1306</v>
      </c>
    </row>
    <row r="1307" spans="24:33" hidden="1" x14ac:dyDescent="0.25">
      <c r="X1307">
        <v>8</v>
      </c>
      <c r="Y1307" t="s">
        <v>764</v>
      </c>
      <c r="Z1307" t="s">
        <v>109</v>
      </c>
      <c r="AA1307" t="str">
        <f>IF(OR(VLOOKUP(Table1[[#This Row],[sheet]],Prg!$A$7:$F$31,6,FALSE)=Prg!$O$2,VLOOKUP(Table1[[#This Row],[sheet]],Prg!$A$7:$F$31,6,FALSE)=Prg!$O$3),"Yes","No")</f>
        <v>Yes</v>
      </c>
      <c r="AB1307">
        <v>2023</v>
      </c>
      <c r="AC1307">
        <v>16</v>
      </c>
      <c r="AD1307">
        <f ca="1">IF(ISERROR(VLOOKUP(Table1[[#This Row],[item]],INDIRECT("'"&amp;Table1[[#This Row],[sheet]]&amp;"'!$A$8:$T$42"),Table1[[#This Row],[r]],FALSE)),"",VLOOKUP(Table1[[#This Row],[item]],INDIRECT("'"&amp;Table1[[#This Row],[sheet]]&amp;"'!$A$8:$T$42"),Table1[[#This Row],[r]],FALSE))</f>
        <v>1000</v>
      </c>
      <c r="AE1307">
        <f>IF(VLOOKUP(Table1[[#This Row],[sheet]],Prg!$A$7:$J$31,10,FALSE)="","",VLOOKUP(Table1[[#This Row],[sheet]],Prg!$A$7:$J$31,10,FALSE)*1)</f>
        <v>2</v>
      </c>
      <c r="AF1307" t="str">
        <f>VLOOKUP(Table1[[#This Row],[sheet]],Prg!$A$7:$J$31,5,FALSE)</f>
        <v>R - ASIA - FAR EAST AREA</v>
      </c>
      <c r="AG1307">
        <f>ROW()</f>
        <v>1307</v>
      </c>
    </row>
    <row r="1308" spans="24:33" hidden="1" x14ac:dyDescent="0.25">
      <c r="X1308">
        <v>8</v>
      </c>
      <c r="Y1308" t="s">
        <v>765</v>
      </c>
      <c r="Z1308" t="s">
        <v>117</v>
      </c>
      <c r="AA1308" t="str">
        <f>IF(OR(VLOOKUP(Table1[[#This Row],[sheet]],Prg!$A$7:$F$31,6,FALSE)=Prg!$O$2,VLOOKUP(Table1[[#This Row],[sheet]],Prg!$A$7:$F$31,6,FALSE)=Prg!$O$3),"Yes","No")</f>
        <v>Yes</v>
      </c>
      <c r="AB1308">
        <v>2023</v>
      </c>
      <c r="AC1308">
        <v>16</v>
      </c>
      <c r="AD1308">
        <f ca="1">IF(ISERROR(VLOOKUP(Table1[[#This Row],[item]],INDIRECT("'"&amp;Table1[[#This Row],[sheet]]&amp;"'!$A$8:$T$42"),Table1[[#This Row],[r]],FALSE)),"",VLOOKUP(Table1[[#This Row],[item]],INDIRECT("'"&amp;Table1[[#This Row],[sheet]]&amp;"'!$A$8:$T$42"),Table1[[#This Row],[r]],FALSE))</f>
        <v>182695.25</v>
      </c>
      <c r="AE1308">
        <f>IF(VLOOKUP(Table1[[#This Row],[sheet]],Prg!$A$7:$J$31,10,FALSE)="","",VLOOKUP(Table1[[#This Row],[sheet]],Prg!$A$7:$J$31,10,FALSE)*1)</f>
        <v>2</v>
      </c>
      <c r="AF1308" t="str">
        <f>VLOOKUP(Table1[[#This Row],[sheet]],Prg!$A$7:$J$31,5,FALSE)</f>
        <v>R - ASIA - FAR EAST AREA</v>
      </c>
      <c r="AG1308">
        <f>ROW()</f>
        <v>1308</v>
      </c>
    </row>
    <row r="1309" spans="24:33" hidden="1" x14ac:dyDescent="0.25">
      <c r="X1309">
        <v>8</v>
      </c>
      <c r="Y1309" t="s">
        <v>766</v>
      </c>
      <c r="Z1309" t="s">
        <v>767</v>
      </c>
      <c r="AA1309" t="str">
        <f>IF(OR(VLOOKUP(Table1[[#This Row],[sheet]],Prg!$A$7:$F$31,6,FALSE)=Prg!$O$2,VLOOKUP(Table1[[#This Row],[sheet]],Prg!$A$7:$F$31,6,FALSE)=Prg!$O$3),"Yes","No")</f>
        <v>Yes</v>
      </c>
      <c r="AB1309">
        <v>2023</v>
      </c>
      <c r="AC1309">
        <v>16</v>
      </c>
      <c r="AD1309">
        <f ca="1">IF(ISERROR(VLOOKUP(Table1[[#This Row],[item]],INDIRECT("'"&amp;Table1[[#This Row],[sheet]]&amp;"'!$A$8:$T$42"),Table1[[#This Row],[r]],FALSE)),"",VLOOKUP(Table1[[#This Row],[item]],INDIRECT("'"&amp;Table1[[#This Row],[sheet]]&amp;"'!$A$8:$T$42"),Table1[[#This Row],[r]],FALSE))</f>
        <v>505314.62</v>
      </c>
      <c r="AE1309">
        <f>IF(VLOOKUP(Table1[[#This Row],[sheet]],Prg!$A$7:$J$31,10,FALSE)="","",VLOOKUP(Table1[[#This Row],[sheet]],Prg!$A$7:$J$31,10,FALSE)*1)</f>
        <v>2</v>
      </c>
      <c r="AF1309" t="str">
        <f>VLOOKUP(Table1[[#This Row],[sheet]],Prg!$A$7:$J$31,5,FALSE)</f>
        <v>R - ASIA - FAR EAST AREA</v>
      </c>
      <c r="AG1309">
        <f>ROW()</f>
        <v>1309</v>
      </c>
    </row>
    <row r="1310" spans="24:33" hidden="1" x14ac:dyDescent="0.25">
      <c r="X1310">
        <v>8</v>
      </c>
      <c r="Y1310" t="s">
        <v>768</v>
      </c>
      <c r="Z1310" t="s">
        <v>182</v>
      </c>
      <c r="AA1310" t="str">
        <f>IF(OR(VLOOKUP(Table1[[#This Row],[sheet]],Prg!$A$7:$F$31,6,FALSE)=Prg!$O$2,VLOOKUP(Table1[[#This Row],[sheet]],Prg!$A$7:$F$31,6,FALSE)=Prg!$O$3),"Yes","No")</f>
        <v>Yes</v>
      </c>
      <c r="AB1310">
        <v>2023</v>
      </c>
      <c r="AC1310">
        <v>16</v>
      </c>
      <c r="AD1310">
        <f ca="1">IF(ISERROR(VLOOKUP(Table1[[#This Row],[item]],INDIRECT("'"&amp;Table1[[#This Row],[sheet]]&amp;"'!$A$8:$T$42"),Table1[[#This Row],[r]],FALSE)),"",VLOOKUP(Table1[[#This Row],[item]],INDIRECT("'"&amp;Table1[[#This Row],[sheet]]&amp;"'!$A$8:$T$42"),Table1[[#This Row],[r]],FALSE))</f>
        <v>12000</v>
      </c>
      <c r="AE1310">
        <f>IF(VLOOKUP(Table1[[#This Row],[sheet]],Prg!$A$7:$J$31,10,FALSE)="","",VLOOKUP(Table1[[#This Row],[sheet]],Prg!$A$7:$J$31,10,FALSE)*1)</f>
        <v>2</v>
      </c>
      <c r="AF1310" t="str">
        <f>VLOOKUP(Table1[[#This Row],[sheet]],Prg!$A$7:$J$31,5,FALSE)</f>
        <v>R - ASIA - FAR EAST AREA</v>
      </c>
      <c r="AG1310">
        <f>ROW()</f>
        <v>1310</v>
      </c>
    </row>
    <row r="1311" spans="24:33" hidden="1" x14ac:dyDescent="0.25">
      <c r="X1311">
        <v>8</v>
      </c>
      <c r="Y1311" t="s">
        <v>769</v>
      </c>
      <c r="Z1311" t="s">
        <v>184</v>
      </c>
      <c r="AA1311" t="str">
        <f>IF(OR(VLOOKUP(Table1[[#This Row],[sheet]],Prg!$A$7:$F$31,6,FALSE)=Prg!$O$2,VLOOKUP(Table1[[#This Row],[sheet]],Prg!$A$7:$F$31,6,FALSE)=Prg!$O$3),"Yes","No")</f>
        <v>Yes</v>
      </c>
      <c r="AB1311">
        <v>2023</v>
      </c>
      <c r="AC1311">
        <v>16</v>
      </c>
      <c r="AD1311">
        <f ca="1">IF(ISERROR(VLOOKUP(Table1[[#This Row],[item]],INDIRECT("'"&amp;Table1[[#This Row],[sheet]]&amp;"'!$A$8:$T$42"),Table1[[#This Row],[r]],FALSE)),"",VLOOKUP(Table1[[#This Row],[item]],INDIRECT("'"&amp;Table1[[#This Row],[sheet]]&amp;"'!$A$8:$T$42"),Table1[[#This Row],[r]],FALSE))</f>
        <v>0</v>
      </c>
      <c r="AE1311">
        <f>IF(VLOOKUP(Table1[[#This Row],[sheet]],Prg!$A$7:$J$31,10,FALSE)="","",VLOOKUP(Table1[[#This Row],[sheet]],Prg!$A$7:$J$31,10,FALSE)*1)</f>
        <v>2</v>
      </c>
      <c r="AF1311" t="str">
        <f>VLOOKUP(Table1[[#This Row],[sheet]],Prg!$A$7:$J$31,5,FALSE)</f>
        <v>R - ASIA - FAR EAST AREA</v>
      </c>
      <c r="AG1311">
        <f>ROW()</f>
        <v>1311</v>
      </c>
    </row>
    <row r="1312" spans="24:33" hidden="1" x14ac:dyDescent="0.25">
      <c r="X1312">
        <v>8</v>
      </c>
      <c r="Y1312" t="s">
        <v>770</v>
      </c>
      <c r="Z1312" t="s">
        <v>186</v>
      </c>
      <c r="AA1312" t="str">
        <f>IF(OR(VLOOKUP(Table1[[#This Row],[sheet]],Prg!$A$7:$F$31,6,FALSE)=Prg!$O$2,VLOOKUP(Table1[[#This Row],[sheet]],Prg!$A$7:$F$31,6,FALSE)=Prg!$O$3),"Yes","No")</f>
        <v>Yes</v>
      </c>
      <c r="AB1312">
        <v>2023</v>
      </c>
      <c r="AC1312">
        <v>16</v>
      </c>
      <c r="AD1312">
        <f ca="1">IF(ISERROR(VLOOKUP(Table1[[#This Row],[item]],INDIRECT("'"&amp;Table1[[#This Row],[sheet]]&amp;"'!$A$8:$T$42"),Table1[[#This Row],[r]],FALSE)),"",VLOOKUP(Table1[[#This Row],[item]],INDIRECT("'"&amp;Table1[[#This Row],[sheet]]&amp;"'!$A$8:$T$42"),Table1[[#This Row],[r]],FALSE))</f>
        <v>12000</v>
      </c>
      <c r="AE1312">
        <f>IF(VLOOKUP(Table1[[#This Row],[sheet]],Prg!$A$7:$J$31,10,FALSE)="","",VLOOKUP(Table1[[#This Row],[sheet]],Prg!$A$7:$J$31,10,FALSE)*1)</f>
        <v>2</v>
      </c>
      <c r="AF1312" t="str">
        <f>VLOOKUP(Table1[[#This Row],[sheet]],Prg!$A$7:$J$31,5,FALSE)</f>
        <v>R - ASIA - FAR EAST AREA</v>
      </c>
      <c r="AG1312">
        <f>ROW()</f>
        <v>1312</v>
      </c>
    </row>
    <row r="1313" spans="24:33" hidden="1" x14ac:dyDescent="0.25">
      <c r="X1313">
        <v>8</v>
      </c>
      <c r="Y1313" t="s">
        <v>771</v>
      </c>
      <c r="Z1313" t="s">
        <v>772</v>
      </c>
      <c r="AA1313" t="str">
        <f>IF(OR(VLOOKUP(Table1[[#This Row],[sheet]],Prg!$A$7:$F$31,6,FALSE)=Prg!$O$2,VLOOKUP(Table1[[#This Row],[sheet]],Prg!$A$7:$F$31,6,FALSE)=Prg!$O$3),"Yes","No")</f>
        <v>Yes</v>
      </c>
      <c r="AB1313">
        <v>2023</v>
      </c>
      <c r="AC1313">
        <v>16</v>
      </c>
      <c r="AD1313">
        <f ca="1">IF(ISERROR(VLOOKUP(Table1[[#This Row],[item]],INDIRECT("'"&amp;Table1[[#This Row],[sheet]]&amp;"'!$A$8:$T$42"),Table1[[#This Row],[r]],FALSE)),"",VLOOKUP(Table1[[#This Row],[item]],INDIRECT("'"&amp;Table1[[#This Row],[sheet]]&amp;"'!$A$8:$T$42"),Table1[[#This Row],[r]],FALSE))</f>
        <v>0</v>
      </c>
      <c r="AE1313">
        <f>IF(VLOOKUP(Table1[[#This Row],[sheet]],Prg!$A$7:$J$31,10,FALSE)="","",VLOOKUP(Table1[[#This Row],[sheet]],Prg!$A$7:$J$31,10,FALSE)*1)</f>
        <v>2</v>
      </c>
      <c r="AF1313" t="str">
        <f>VLOOKUP(Table1[[#This Row],[sheet]],Prg!$A$7:$J$31,5,FALSE)</f>
        <v>R - ASIA - FAR EAST AREA</v>
      </c>
      <c r="AG1313">
        <f>ROW()</f>
        <v>1313</v>
      </c>
    </row>
    <row r="1314" spans="24:33" hidden="1" x14ac:dyDescent="0.25">
      <c r="X1314">
        <v>8</v>
      </c>
      <c r="Y1314" t="s">
        <v>773</v>
      </c>
      <c r="Z1314" t="s">
        <v>190</v>
      </c>
      <c r="AA1314" t="str">
        <f>IF(OR(VLOOKUP(Table1[[#This Row],[sheet]],Prg!$A$7:$F$31,6,FALSE)=Prg!$O$2,VLOOKUP(Table1[[#This Row],[sheet]],Prg!$A$7:$F$31,6,FALSE)=Prg!$O$3),"Yes","No")</f>
        <v>Yes</v>
      </c>
      <c r="AB1314">
        <v>2023</v>
      </c>
      <c r="AC1314">
        <v>16</v>
      </c>
      <c r="AD1314">
        <f ca="1">IF(ISERROR(VLOOKUP(Table1[[#This Row],[item]],INDIRECT("'"&amp;Table1[[#This Row],[sheet]]&amp;"'!$A$8:$T$42"),Table1[[#This Row],[r]],FALSE)),"",VLOOKUP(Table1[[#This Row],[item]],INDIRECT("'"&amp;Table1[[#This Row],[sheet]]&amp;"'!$A$8:$T$42"),Table1[[#This Row],[r]],FALSE))</f>
        <v>2173119.77</v>
      </c>
      <c r="AE1314">
        <f>IF(VLOOKUP(Table1[[#This Row],[sheet]],Prg!$A$7:$J$31,10,FALSE)="","",VLOOKUP(Table1[[#This Row],[sheet]],Prg!$A$7:$J$31,10,FALSE)*1)</f>
        <v>2</v>
      </c>
      <c r="AF1314" t="str">
        <f>VLOOKUP(Table1[[#This Row],[sheet]],Prg!$A$7:$J$31,5,FALSE)</f>
        <v>R - ASIA - FAR EAST AREA</v>
      </c>
      <c r="AG1314">
        <f>ROW()</f>
        <v>1314</v>
      </c>
    </row>
    <row r="1315" spans="24:33" hidden="1" x14ac:dyDescent="0.25">
      <c r="X1315">
        <v>8</v>
      </c>
      <c r="Y1315" t="s">
        <v>709</v>
      </c>
      <c r="Z1315" t="s">
        <v>192</v>
      </c>
      <c r="AA1315" t="str">
        <f>IF(OR(VLOOKUP(Table1[[#This Row],[sheet]],Prg!$A$7:$F$31,6,FALSE)=Prg!$O$2,VLOOKUP(Table1[[#This Row],[sheet]],Prg!$A$7:$F$31,6,FALSE)=Prg!$O$3),"Yes","No")</f>
        <v>Yes</v>
      </c>
      <c r="AB1315">
        <v>2023</v>
      </c>
      <c r="AC1315">
        <v>16</v>
      </c>
      <c r="AD1315">
        <f ca="1">IF(ISERROR(VLOOKUP(Table1[[#This Row],[item]],INDIRECT("'"&amp;Table1[[#This Row],[sheet]]&amp;"'!$A$8:$T$42"),Table1[[#This Row],[r]],FALSE)),"",VLOOKUP(Table1[[#This Row],[item]],INDIRECT("'"&amp;Table1[[#This Row],[sheet]]&amp;"'!$A$8:$T$42"),Table1[[#This Row],[r]],FALSE))</f>
        <v>19992</v>
      </c>
      <c r="AE1315">
        <f>IF(VLOOKUP(Table1[[#This Row],[sheet]],Prg!$A$7:$J$31,10,FALSE)="","",VLOOKUP(Table1[[#This Row],[sheet]],Prg!$A$7:$J$31,10,FALSE)*1)</f>
        <v>2</v>
      </c>
      <c r="AF1315" t="str">
        <f>VLOOKUP(Table1[[#This Row],[sheet]],Prg!$A$7:$J$31,5,FALSE)</f>
        <v>R - ASIA - FAR EAST AREA</v>
      </c>
      <c r="AG1315">
        <f>ROW()</f>
        <v>1315</v>
      </c>
    </row>
    <row r="1316" spans="24:33" hidden="1" x14ac:dyDescent="0.25">
      <c r="X1316">
        <v>8</v>
      </c>
      <c r="Y1316" t="s">
        <v>774</v>
      </c>
      <c r="Z1316" t="s">
        <v>194</v>
      </c>
      <c r="AA1316" t="str">
        <f>IF(OR(VLOOKUP(Table1[[#This Row],[sheet]],Prg!$A$7:$F$31,6,FALSE)=Prg!$O$2,VLOOKUP(Table1[[#This Row],[sheet]],Prg!$A$7:$F$31,6,FALSE)=Prg!$O$3),"Yes","No")</f>
        <v>Yes</v>
      </c>
      <c r="AB1316">
        <v>2023</v>
      </c>
      <c r="AC1316">
        <v>16</v>
      </c>
      <c r="AD1316">
        <f ca="1">IF(ISERROR(VLOOKUP(Table1[[#This Row],[item]],INDIRECT("'"&amp;Table1[[#This Row],[sheet]]&amp;"'!$A$8:$T$42"),Table1[[#This Row],[r]],FALSE)),"",VLOOKUP(Table1[[#This Row],[item]],INDIRECT("'"&amp;Table1[[#This Row],[sheet]]&amp;"'!$A$8:$T$42"),Table1[[#This Row],[r]],FALSE))</f>
        <v>3841</v>
      </c>
      <c r="AE1316">
        <f>IF(VLOOKUP(Table1[[#This Row],[sheet]],Prg!$A$7:$J$31,10,FALSE)="","",VLOOKUP(Table1[[#This Row],[sheet]],Prg!$A$7:$J$31,10,FALSE)*1)</f>
        <v>2</v>
      </c>
      <c r="AF1316" t="str">
        <f>VLOOKUP(Table1[[#This Row],[sheet]],Prg!$A$7:$J$31,5,FALSE)</f>
        <v>R - ASIA - FAR EAST AREA</v>
      </c>
      <c r="AG1316">
        <f>ROW()</f>
        <v>1316</v>
      </c>
    </row>
    <row r="1317" spans="24:33" hidden="1" x14ac:dyDescent="0.25">
      <c r="X1317">
        <v>8</v>
      </c>
      <c r="Y1317" t="s">
        <v>775</v>
      </c>
      <c r="Z1317" t="s">
        <v>196</v>
      </c>
      <c r="AA1317" t="str">
        <f>IF(OR(VLOOKUP(Table1[[#This Row],[sheet]],Prg!$A$7:$F$31,6,FALSE)=Prg!$O$2,VLOOKUP(Table1[[#This Row],[sheet]],Prg!$A$7:$F$31,6,FALSE)=Prg!$O$3),"Yes","No")</f>
        <v>Yes</v>
      </c>
      <c r="AB1317">
        <v>2023</v>
      </c>
      <c r="AC1317">
        <v>16</v>
      </c>
      <c r="AD1317">
        <f ca="1">IF(ISERROR(VLOOKUP(Table1[[#This Row],[item]],INDIRECT("'"&amp;Table1[[#This Row],[sheet]]&amp;"'!$A$8:$T$42"),Table1[[#This Row],[r]],FALSE)),"",VLOOKUP(Table1[[#This Row],[item]],INDIRECT("'"&amp;Table1[[#This Row],[sheet]]&amp;"'!$A$8:$T$42"),Table1[[#This Row],[r]],FALSE))</f>
        <v>15591</v>
      </c>
      <c r="AE1317">
        <f>IF(VLOOKUP(Table1[[#This Row],[sheet]],Prg!$A$7:$J$31,10,FALSE)="","",VLOOKUP(Table1[[#This Row],[sheet]],Prg!$A$7:$J$31,10,FALSE)*1)</f>
        <v>2</v>
      </c>
      <c r="AF1317" t="str">
        <f>VLOOKUP(Table1[[#This Row],[sheet]],Prg!$A$7:$J$31,5,FALSE)</f>
        <v>R - ASIA - FAR EAST AREA</v>
      </c>
      <c r="AG1317">
        <f>ROW()</f>
        <v>1317</v>
      </c>
    </row>
    <row r="1318" spans="24:33" hidden="1" x14ac:dyDescent="0.25">
      <c r="X1318">
        <v>8</v>
      </c>
      <c r="Y1318" t="s">
        <v>776</v>
      </c>
      <c r="Z1318" t="s">
        <v>605</v>
      </c>
      <c r="AA1318" t="str">
        <f>IF(OR(VLOOKUP(Table1[[#This Row],[sheet]],Prg!$A$7:$F$31,6,FALSE)=Prg!$O$2,VLOOKUP(Table1[[#This Row],[sheet]],Prg!$A$7:$F$31,6,FALSE)=Prg!$O$3),"Yes","No")</f>
        <v>Yes</v>
      </c>
      <c r="AB1318">
        <v>2023</v>
      </c>
      <c r="AC1318">
        <v>16</v>
      </c>
      <c r="AD1318">
        <f ca="1">IF(ISERROR(VLOOKUP(Table1[[#This Row],[item]],INDIRECT("'"&amp;Table1[[#This Row],[sheet]]&amp;"'!$A$8:$T$42"),Table1[[#This Row],[r]],FALSE)),"",VLOOKUP(Table1[[#This Row],[item]],INDIRECT("'"&amp;Table1[[#This Row],[sheet]]&amp;"'!$A$8:$T$42"),Table1[[#This Row],[r]],FALSE))</f>
        <v>560</v>
      </c>
      <c r="AE1318">
        <f>IF(VLOOKUP(Table1[[#This Row],[sheet]],Prg!$A$7:$J$31,10,FALSE)="","",VLOOKUP(Table1[[#This Row],[sheet]],Prg!$A$7:$J$31,10,FALSE)*1)</f>
        <v>2</v>
      </c>
      <c r="AF1318" t="str">
        <f>VLOOKUP(Table1[[#This Row],[sheet]],Prg!$A$7:$J$31,5,FALSE)</f>
        <v>R - ASIA - FAR EAST AREA</v>
      </c>
      <c r="AG1318">
        <f>ROW()</f>
        <v>1318</v>
      </c>
    </row>
    <row r="1319" spans="24:33" hidden="1" x14ac:dyDescent="0.25">
      <c r="X1319">
        <v>8</v>
      </c>
      <c r="Y1319" t="s">
        <v>711</v>
      </c>
      <c r="Z1319" t="s">
        <v>200</v>
      </c>
      <c r="AA1319" t="str">
        <f>IF(OR(VLOOKUP(Table1[[#This Row],[sheet]],Prg!$A$7:$F$31,6,FALSE)=Prg!$O$2,VLOOKUP(Table1[[#This Row],[sheet]],Prg!$A$7:$F$31,6,FALSE)=Prg!$O$3),"Yes","No")</f>
        <v>Yes</v>
      </c>
      <c r="AB1319">
        <v>2023</v>
      </c>
      <c r="AC1319">
        <v>16</v>
      </c>
      <c r="AD1319">
        <f ca="1">IF(ISERROR(VLOOKUP(Table1[[#This Row],[item]],INDIRECT("'"&amp;Table1[[#This Row],[sheet]]&amp;"'!$A$8:$T$42"),Table1[[#This Row],[r]],FALSE)),"",VLOOKUP(Table1[[#This Row],[item]],INDIRECT("'"&amp;Table1[[#This Row],[sheet]]&amp;"'!$A$8:$T$42"),Table1[[#This Row],[r]],FALSE))</f>
        <v>1259114.01</v>
      </c>
      <c r="AE1319">
        <f>IF(VLOOKUP(Table1[[#This Row],[sheet]],Prg!$A$7:$J$31,10,FALSE)="","",VLOOKUP(Table1[[#This Row],[sheet]],Prg!$A$7:$J$31,10,FALSE)*1)</f>
        <v>2</v>
      </c>
      <c r="AF1319" t="str">
        <f>VLOOKUP(Table1[[#This Row],[sheet]],Prg!$A$7:$J$31,5,FALSE)</f>
        <v>R - ASIA - FAR EAST AREA</v>
      </c>
      <c r="AG1319">
        <f>ROW()</f>
        <v>1319</v>
      </c>
    </row>
    <row r="1320" spans="24:33" hidden="1" x14ac:dyDescent="0.25">
      <c r="X1320">
        <v>8</v>
      </c>
      <c r="Y1320" t="s">
        <v>777</v>
      </c>
      <c r="Z1320" t="s">
        <v>202</v>
      </c>
      <c r="AA1320" t="str">
        <f>IF(OR(VLOOKUP(Table1[[#This Row],[sheet]],Prg!$A$7:$F$31,6,FALSE)=Prg!$O$2,VLOOKUP(Table1[[#This Row],[sheet]],Prg!$A$7:$F$31,6,FALSE)=Prg!$O$3),"Yes","No")</f>
        <v>Yes</v>
      </c>
      <c r="AB1320">
        <v>2023</v>
      </c>
      <c r="AC1320">
        <v>16</v>
      </c>
      <c r="AD1320">
        <f ca="1">IF(ISERROR(VLOOKUP(Table1[[#This Row],[item]],INDIRECT("'"&amp;Table1[[#This Row],[sheet]]&amp;"'!$A$8:$T$42"),Table1[[#This Row],[r]],FALSE)),"",VLOOKUP(Table1[[#This Row],[item]],INDIRECT("'"&amp;Table1[[#This Row],[sheet]]&amp;"'!$A$8:$T$42"),Table1[[#This Row],[r]],FALSE))</f>
        <v>40980</v>
      </c>
      <c r="AE1320">
        <f>IF(VLOOKUP(Table1[[#This Row],[sheet]],Prg!$A$7:$J$31,10,FALSE)="","",VLOOKUP(Table1[[#This Row],[sheet]],Prg!$A$7:$J$31,10,FALSE)*1)</f>
        <v>2</v>
      </c>
      <c r="AF1320" t="str">
        <f>VLOOKUP(Table1[[#This Row],[sheet]],Prg!$A$7:$J$31,5,FALSE)</f>
        <v>R - ASIA - FAR EAST AREA</v>
      </c>
      <c r="AG1320">
        <f>ROW()</f>
        <v>1320</v>
      </c>
    </row>
    <row r="1321" spans="24:33" hidden="1" x14ac:dyDescent="0.25">
      <c r="X1321">
        <v>8</v>
      </c>
      <c r="Y1321" t="s">
        <v>778</v>
      </c>
      <c r="Z1321" t="s">
        <v>204</v>
      </c>
      <c r="AA1321" t="str">
        <f>IF(OR(VLOOKUP(Table1[[#This Row],[sheet]],Prg!$A$7:$F$31,6,FALSE)=Prg!$O$2,VLOOKUP(Table1[[#This Row],[sheet]],Prg!$A$7:$F$31,6,FALSE)=Prg!$O$3),"Yes","No")</f>
        <v>Yes</v>
      </c>
      <c r="AB1321">
        <v>2023</v>
      </c>
      <c r="AC1321">
        <v>16</v>
      </c>
      <c r="AD1321">
        <f ca="1">IF(ISERROR(VLOOKUP(Table1[[#This Row],[item]],INDIRECT("'"&amp;Table1[[#This Row],[sheet]]&amp;"'!$A$8:$T$42"),Table1[[#This Row],[r]],FALSE)),"",VLOOKUP(Table1[[#This Row],[item]],INDIRECT("'"&amp;Table1[[#This Row],[sheet]]&amp;"'!$A$8:$T$42"),Table1[[#This Row],[r]],FALSE))</f>
        <v>127676</v>
      </c>
      <c r="AE1321">
        <f>IF(VLOOKUP(Table1[[#This Row],[sheet]],Prg!$A$7:$J$31,10,FALSE)="","",VLOOKUP(Table1[[#This Row],[sheet]],Prg!$A$7:$J$31,10,FALSE)*1)</f>
        <v>2</v>
      </c>
      <c r="AF1321" t="str">
        <f>VLOOKUP(Table1[[#This Row],[sheet]],Prg!$A$7:$J$31,5,FALSE)</f>
        <v>R - ASIA - FAR EAST AREA</v>
      </c>
      <c r="AG1321">
        <f>ROW()</f>
        <v>1321</v>
      </c>
    </row>
    <row r="1322" spans="24:33" hidden="1" x14ac:dyDescent="0.25">
      <c r="X1322">
        <v>8</v>
      </c>
      <c r="Y1322" t="s">
        <v>779</v>
      </c>
      <c r="Z1322" t="s">
        <v>605</v>
      </c>
      <c r="AA1322" t="str">
        <f>IF(OR(VLOOKUP(Table1[[#This Row],[sheet]],Prg!$A$7:$F$31,6,FALSE)=Prg!$O$2,VLOOKUP(Table1[[#This Row],[sheet]],Prg!$A$7:$F$31,6,FALSE)=Prg!$O$3),"Yes","No")</f>
        <v>Yes</v>
      </c>
      <c r="AB1322">
        <v>2023</v>
      </c>
      <c r="AC1322">
        <v>16</v>
      </c>
      <c r="AD1322">
        <f ca="1">IF(ISERROR(VLOOKUP(Table1[[#This Row],[item]],INDIRECT("'"&amp;Table1[[#This Row],[sheet]]&amp;"'!$A$8:$T$42"),Table1[[#This Row],[r]],FALSE)),"",VLOOKUP(Table1[[#This Row],[item]],INDIRECT("'"&amp;Table1[[#This Row],[sheet]]&amp;"'!$A$8:$T$42"),Table1[[#This Row],[r]],FALSE))</f>
        <v>1090458.01</v>
      </c>
      <c r="AE1322">
        <f>IF(VLOOKUP(Table1[[#This Row],[sheet]],Prg!$A$7:$J$31,10,FALSE)="","",VLOOKUP(Table1[[#This Row],[sheet]],Prg!$A$7:$J$31,10,FALSE)*1)</f>
        <v>2</v>
      </c>
      <c r="AF1322" t="str">
        <f>VLOOKUP(Table1[[#This Row],[sheet]],Prg!$A$7:$J$31,5,FALSE)</f>
        <v>R - ASIA - FAR EAST AREA</v>
      </c>
      <c r="AG1322">
        <f>ROW()</f>
        <v>1322</v>
      </c>
    </row>
    <row r="1323" spans="24:33" hidden="1" x14ac:dyDescent="0.25">
      <c r="X1323">
        <v>8</v>
      </c>
      <c r="Y1323" t="s">
        <v>712</v>
      </c>
      <c r="Z1323" t="s">
        <v>780</v>
      </c>
      <c r="AA1323" t="str">
        <f>IF(OR(VLOOKUP(Table1[[#This Row],[sheet]],Prg!$A$7:$F$31,6,FALSE)=Prg!$O$2,VLOOKUP(Table1[[#This Row],[sheet]],Prg!$A$7:$F$31,6,FALSE)=Prg!$O$3),"Yes","No")</f>
        <v>Yes</v>
      </c>
      <c r="AB1323">
        <v>2023</v>
      </c>
      <c r="AC1323">
        <v>16</v>
      </c>
      <c r="AD1323">
        <f ca="1">IF(ISERROR(VLOOKUP(Table1[[#This Row],[item]],INDIRECT("'"&amp;Table1[[#This Row],[sheet]]&amp;"'!$A$8:$T$42"),Table1[[#This Row],[r]],FALSE)),"",VLOOKUP(Table1[[#This Row],[item]],INDIRECT("'"&amp;Table1[[#This Row],[sheet]]&amp;"'!$A$8:$T$42"),Table1[[#This Row],[r]],FALSE))</f>
        <v>894013.76</v>
      </c>
      <c r="AE1323">
        <f>IF(VLOOKUP(Table1[[#This Row],[sheet]],Prg!$A$7:$J$31,10,FALSE)="","",VLOOKUP(Table1[[#This Row],[sheet]],Prg!$A$7:$J$31,10,FALSE)*1)</f>
        <v>2</v>
      </c>
      <c r="AF1323" t="str">
        <f>VLOOKUP(Table1[[#This Row],[sheet]],Prg!$A$7:$J$31,5,FALSE)</f>
        <v>R - ASIA - FAR EAST AREA</v>
      </c>
      <c r="AG1323">
        <f>ROW()</f>
        <v>1323</v>
      </c>
    </row>
    <row r="1324" spans="24:33" hidden="1" x14ac:dyDescent="0.25">
      <c r="X1324">
        <v>8</v>
      </c>
      <c r="Y1324" t="s">
        <v>781</v>
      </c>
      <c r="Z1324" t="s">
        <v>782</v>
      </c>
      <c r="AA1324" t="str">
        <f>IF(OR(VLOOKUP(Table1[[#This Row],[sheet]],Prg!$A$7:$F$31,6,FALSE)=Prg!$O$2,VLOOKUP(Table1[[#This Row],[sheet]],Prg!$A$7:$F$31,6,FALSE)=Prg!$O$3),"Yes","No")</f>
        <v>Yes</v>
      </c>
      <c r="AB1324">
        <v>2023</v>
      </c>
      <c r="AC1324">
        <v>16</v>
      </c>
      <c r="AD1324">
        <f ca="1">IF(ISERROR(VLOOKUP(Table1[[#This Row],[item]],INDIRECT("'"&amp;Table1[[#This Row],[sheet]]&amp;"'!$A$8:$T$42"),Table1[[#This Row],[r]],FALSE)),"",VLOOKUP(Table1[[#This Row],[item]],INDIRECT("'"&amp;Table1[[#This Row],[sheet]]&amp;"'!$A$8:$T$42"),Table1[[#This Row],[r]],FALSE))</f>
        <v>0</v>
      </c>
      <c r="AE1324">
        <f>IF(VLOOKUP(Table1[[#This Row],[sheet]],Prg!$A$7:$J$31,10,FALSE)="","",VLOOKUP(Table1[[#This Row],[sheet]],Prg!$A$7:$J$31,10,FALSE)*1)</f>
        <v>2</v>
      </c>
      <c r="AF1324" t="str">
        <f>VLOOKUP(Table1[[#This Row],[sheet]],Prg!$A$7:$J$31,5,FALSE)</f>
        <v>R - ASIA - FAR EAST AREA</v>
      </c>
      <c r="AG1324">
        <f>ROW()</f>
        <v>1324</v>
      </c>
    </row>
    <row r="1325" spans="24:33" hidden="1" x14ac:dyDescent="0.25">
      <c r="X1325">
        <v>8</v>
      </c>
      <c r="Y1325" t="s">
        <v>783</v>
      </c>
      <c r="Z1325" t="s">
        <v>784</v>
      </c>
      <c r="AA1325" t="str">
        <f>IF(OR(VLOOKUP(Table1[[#This Row],[sheet]],Prg!$A$7:$F$31,6,FALSE)=Prg!$O$2,VLOOKUP(Table1[[#This Row],[sheet]],Prg!$A$7:$F$31,6,FALSE)=Prg!$O$3),"Yes","No")</f>
        <v>Yes</v>
      </c>
      <c r="AB1325">
        <v>2023</v>
      </c>
      <c r="AC1325">
        <v>16</v>
      </c>
      <c r="AD1325">
        <f ca="1">IF(ISERROR(VLOOKUP(Table1[[#This Row],[item]],INDIRECT("'"&amp;Table1[[#This Row],[sheet]]&amp;"'!$A$8:$T$42"),Table1[[#This Row],[r]],FALSE)),"",VLOOKUP(Table1[[#This Row],[item]],INDIRECT("'"&amp;Table1[[#This Row],[sheet]]&amp;"'!$A$8:$T$42"),Table1[[#This Row],[r]],FALSE))</f>
        <v>19088.400000000001</v>
      </c>
      <c r="AE1325">
        <f>IF(VLOOKUP(Table1[[#This Row],[sheet]],Prg!$A$7:$J$31,10,FALSE)="","",VLOOKUP(Table1[[#This Row],[sheet]],Prg!$A$7:$J$31,10,FALSE)*1)</f>
        <v>2</v>
      </c>
      <c r="AF1325" t="str">
        <f>VLOOKUP(Table1[[#This Row],[sheet]],Prg!$A$7:$J$31,5,FALSE)</f>
        <v>R - ASIA - FAR EAST AREA</v>
      </c>
      <c r="AG1325">
        <f>ROW()</f>
        <v>1325</v>
      </c>
    </row>
    <row r="1326" spans="24:33" hidden="1" x14ac:dyDescent="0.25">
      <c r="X1326">
        <v>8</v>
      </c>
      <c r="Y1326" t="s">
        <v>785</v>
      </c>
      <c r="Z1326" t="s">
        <v>786</v>
      </c>
      <c r="AA1326" t="str">
        <f>IF(OR(VLOOKUP(Table1[[#This Row],[sheet]],Prg!$A$7:$F$31,6,FALSE)=Prg!$O$2,VLOOKUP(Table1[[#This Row],[sheet]],Prg!$A$7:$F$31,6,FALSE)=Prg!$O$3),"Yes","No")</f>
        <v>Yes</v>
      </c>
      <c r="AB1326">
        <v>2023</v>
      </c>
      <c r="AC1326">
        <v>16</v>
      </c>
      <c r="AD1326">
        <f ca="1">IF(ISERROR(VLOOKUP(Table1[[#This Row],[item]],INDIRECT("'"&amp;Table1[[#This Row],[sheet]]&amp;"'!$A$8:$T$42"),Table1[[#This Row],[r]],FALSE)),"",VLOOKUP(Table1[[#This Row],[item]],INDIRECT("'"&amp;Table1[[#This Row],[sheet]]&amp;"'!$A$8:$T$42"),Table1[[#This Row],[r]],FALSE))</f>
        <v>872858.96</v>
      </c>
      <c r="AE1326">
        <f>IF(VLOOKUP(Table1[[#This Row],[sheet]],Prg!$A$7:$J$31,10,FALSE)="","",VLOOKUP(Table1[[#This Row],[sheet]],Prg!$A$7:$J$31,10,FALSE)*1)</f>
        <v>2</v>
      </c>
      <c r="AF1326" t="str">
        <f>VLOOKUP(Table1[[#This Row],[sheet]],Prg!$A$7:$J$31,5,FALSE)</f>
        <v>R - ASIA - FAR EAST AREA</v>
      </c>
      <c r="AG1326">
        <f>ROW()</f>
        <v>1326</v>
      </c>
    </row>
    <row r="1327" spans="24:33" hidden="1" x14ac:dyDescent="0.25">
      <c r="X1327">
        <v>8</v>
      </c>
      <c r="Y1327" t="s">
        <v>787</v>
      </c>
      <c r="Z1327" t="s">
        <v>633</v>
      </c>
      <c r="AA1327" t="str">
        <f>IF(OR(VLOOKUP(Table1[[#This Row],[sheet]],Prg!$A$7:$F$31,6,FALSE)=Prg!$O$2,VLOOKUP(Table1[[#This Row],[sheet]],Prg!$A$7:$F$31,6,FALSE)=Prg!$O$3),"Yes","No")</f>
        <v>Yes</v>
      </c>
      <c r="AB1327">
        <v>2023</v>
      </c>
      <c r="AC1327">
        <v>16</v>
      </c>
      <c r="AD1327">
        <f ca="1">IF(ISERROR(VLOOKUP(Table1[[#This Row],[item]],INDIRECT("'"&amp;Table1[[#This Row],[sheet]]&amp;"'!$A$8:$T$42"),Table1[[#This Row],[r]],FALSE)),"",VLOOKUP(Table1[[#This Row],[item]],INDIRECT("'"&amp;Table1[[#This Row],[sheet]]&amp;"'!$A$8:$T$42"),Table1[[#This Row],[r]],FALSE))</f>
        <v>2066.4</v>
      </c>
      <c r="AE1327">
        <f>IF(VLOOKUP(Table1[[#This Row],[sheet]],Prg!$A$7:$J$31,10,FALSE)="","",VLOOKUP(Table1[[#This Row],[sheet]],Prg!$A$7:$J$31,10,FALSE)*1)</f>
        <v>2</v>
      </c>
      <c r="AF1327" t="str">
        <f>VLOOKUP(Table1[[#This Row],[sheet]],Prg!$A$7:$J$31,5,FALSE)</f>
        <v>R - ASIA - FAR EAST AREA</v>
      </c>
      <c r="AG1327">
        <f>ROW()</f>
        <v>1327</v>
      </c>
    </row>
    <row r="1328" spans="24:33" hidden="1" x14ac:dyDescent="0.25">
      <c r="X1328">
        <v>8</v>
      </c>
      <c r="Y1328" t="s">
        <v>753</v>
      </c>
      <c r="Z1328" t="s">
        <v>162</v>
      </c>
      <c r="AA1328" t="str">
        <f>IF(OR(VLOOKUP(Table1[[#This Row],[sheet]],Prg!$A$7:$F$31,6,FALSE)=Prg!$O$2,VLOOKUP(Table1[[#This Row],[sheet]],Prg!$A$7:$F$31,6,FALSE)=Prg!$O$3),"Yes","No")</f>
        <v>Yes</v>
      </c>
      <c r="AB1328">
        <v>2024</v>
      </c>
      <c r="AC1328">
        <v>17</v>
      </c>
      <c r="AD1328">
        <f ca="1">IF(ISERROR(VLOOKUP(Table1[[#This Row],[item]],INDIRECT("'"&amp;Table1[[#This Row],[sheet]]&amp;"'!$A$8:$T$42"),Table1[[#This Row],[r]],FALSE)),"",VLOOKUP(Table1[[#This Row],[item]],INDIRECT("'"&amp;Table1[[#This Row],[sheet]]&amp;"'!$A$8:$T$42"),Table1[[#This Row],[r]],FALSE))</f>
        <v>1584212</v>
      </c>
      <c r="AE1328">
        <f>IF(VLOOKUP(Table1[[#This Row],[sheet]],Prg!$A$7:$J$31,10,FALSE)="","",VLOOKUP(Table1[[#This Row],[sheet]],Prg!$A$7:$J$31,10,FALSE)*1)</f>
        <v>2</v>
      </c>
      <c r="AF1328" t="str">
        <f>VLOOKUP(Table1[[#This Row],[sheet]],Prg!$A$7:$J$31,5,FALSE)</f>
        <v>R - ASIA - FAR EAST AREA</v>
      </c>
      <c r="AG1328">
        <f>ROW()</f>
        <v>1328</v>
      </c>
    </row>
    <row r="1329" spans="24:33" hidden="1" x14ac:dyDescent="0.25">
      <c r="X1329">
        <v>8</v>
      </c>
      <c r="Y1329" t="s">
        <v>754</v>
      </c>
      <c r="Z1329" t="s">
        <v>164</v>
      </c>
      <c r="AA1329" t="str">
        <f>IF(OR(VLOOKUP(Table1[[#This Row],[sheet]],Prg!$A$7:$F$31,6,FALSE)=Prg!$O$2,VLOOKUP(Table1[[#This Row],[sheet]],Prg!$A$7:$F$31,6,FALSE)=Prg!$O$3),"Yes","No")</f>
        <v>Yes</v>
      </c>
      <c r="AB1329">
        <v>2024</v>
      </c>
      <c r="AC1329">
        <v>17</v>
      </c>
      <c r="AD1329">
        <f ca="1">IF(ISERROR(VLOOKUP(Table1[[#This Row],[item]],INDIRECT("'"&amp;Table1[[#This Row],[sheet]]&amp;"'!$A$8:$T$42"),Table1[[#This Row],[r]],FALSE)),"",VLOOKUP(Table1[[#This Row],[item]],INDIRECT("'"&amp;Table1[[#This Row],[sheet]]&amp;"'!$A$8:$T$42"),Table1[[#This Row],[r]],FALSE))</f>
        <v>3845</v>
      </c>
      <c r="AE1329">
        <f>IF(VLOOKUP(Table1[[#This Row],[sheet]],Prg!$A$7:$J$31,10,FALSE)="","",VLOOKUP(Table1[[#This Row],[sheet]],Prg!$A$7:$J$31,10,FALSE)*1)</f>
        <v>2</v>
      </c>
      <c r="AF1329" t="str">
        <f>VLOOKUP(Table1[[#This Row],[sheet]],Prg!$A$7:$J$31,5,FALSE)</f>
        <v>R - ASIA - FAR EAST AREA</v>
      </c>
      <c r="AG1329">
        <f>ROW()</f>
        <v>1329</v>
      </c>
    </row>
    <row r="1330" spans="24:33" hidden="1" x14ac:dyDescent="0.25">
      <c r="X1330">
        <v>8</v>
      </c>
      <c r="Y1330" t="s">
        <v>755</v>
      </c>
      <c r="Z1330" t="s">
        <v>166</v>
      </c>
      <c r="AA1330" t="str">
        <f>IF(OR(VLOOKUP(Table1[[#This Row],[sheet]],Prg!$A$7:$F$31,6,FALSE)=Prg!$O$2,VLOOKUP(Table1[[#This Row],[sheet]],Prg!$A$7:$F$31,6,FALSE)=Prg!$O$3),"Yes","No")</f>
        <v>Yes</v>
      </c>
      <c r="AB1330">
        <v>2024</v>
      </c>
      <c r="AC1330">
        <v>17</v>
      </c>
      <c r="AD1330">
        <f ca="1">IF(ISERROR(VLOOKUP(Table1[[#This Row],[item]],INDIRECT("'"&amp;Table1[[#This Row],[sheet]]&amp;"'!$A$8:$T$42"),Table1[[#This Row],[r]],FALSE)),"",VLOOKUP(Table1[[#This Row],[item]],INDIRECT("'"&amp;Table1[[#This Row],[sheet]]&amp;"'!$A$8:$T$42"),Table1[[#This Row],[r]],FALSE))</f>
        <v>1209696</v>
      </c>
      <c r="AE1330">
        <f>IF(VLOOKUP(Table1[[#This Row],[sheet]],Prg!$A$7:$J$31,10,FALSE)="","",VLOOKUP(Table1[[#This Row],[sheet]],Prg!$A$7:$J$31,10,FALSE)*1)</f>
        <v>2</v>
      </c>
      <c r="AF1330" t="str">
        <f>VLOOKUP(Table1[[#This Row],[sheet]],Prg!$A$7:$J$31,5,FALSE)</f>
        <v>R - ASIA - FAR EAST AREA</v>
      </c>
      <c r="AG1330">
        <f>ROW()</f>
        <v>1330</v>
      </c>
    </row>
    <row r="1331" spans="24:33" hidden="1" x14ac:dyDescent="0.25">
      <c r="X1331">
        <v>8</v>
      </c>
      <c r="Y1331" t="s">
        <v>756</v>
      </c>
      <c r="Z1331" t="s">
        <v>757</v>
      </c>
      <c r="AA1331" t="str">
        <f>IF(OR(VLOOKUP(Table1[[#This Row],[sheet]],Prg!$A$7:$F$31,6,FALSE)=Prg!$O$2,VLOOKUP(Table1[[#This Row],[sheet]],Prg!$A$7:$F$31,6,FALSE)=Prg!$O$3),"Yes","No")</f>
        <v>Yes</v>
      </c>
      <c r="AB1331">
        <v>2024</v>
      </c>
      <c r="AC1331">
        <v>17</v>
      </c>
      <c r="AD1331">
        <f ca="1">IF(ISERROR(VLOOKUP(Table1[[#This Row],[item]],INDIRECT("'"&amp;Table1[[#This Row],[sheet]]&amp;"'!$A$8:$T$42"),Table1[[#This Row],[r]],FALSE)),"",VLOOKUP(Table1[[#This Row],[item]],INDIRECT("'"&amp;Table1[[#This Row],[sheet]]&amp;"'!$A$8:$T$42"),Table1[[#This Row],[r]],FALSE))</f>
        <v>370671</v>
      </c>
      <c r="AE1331">
        <f>IF(VLOOKUP(Table1[[#This Row],[sheet]],Prg!$A$7:$J$31,10,FALSE)="","",VLOOKUP(Table1[[#This Row],[sheet]],Prg!$A$7:$J$31,10,FALSE)*1)</f>
        <v>2</v>
      </c>
      <c r="AF1331" t="str">
        <f>VLOOKUP(Table1[[#This Row],[sheet]],Prg!$A$7:$J$31,5,FALSE)</f>
        <v>R - ASIA - FAR EAST AREA</v>
      </c>
      <c r="AG1331">
        <f>ROW()</f>
        <v>1331</v>
      </c>
    </row>
    <row r="1332" spans="24:33" hidden="1" x14ac:dyDescent="0.25">
      <c r="X1332">
        <v>8</v>
      </c>
      <c r="Y1332" t="s">
        <v>758</v>
      </c>
      <c r="Z1332" t="s">
        <v>170</v>
      </c>
      <c r="AA1332" t="str">
        <f>IF(OR(VLOOKUP(Table1[[#This Row],[sheet]],Prg!$A$7:$F$31,6,FALSE)=Prg!$O$2,VLOOKUP(Table1[[#This Row],[sheet]],Prg!$A$7:$F$31,6,FALSE)=Prg!$O$3),"Yes","No")</f>
        <v>Yes</v>
      </c>
      <c r="AB1332">
        <v>2024</v>
      </c>
      <c r="AC1332">
        <v>17</v>
      </c>
      <c r="AD1332">
        <f ca="1">IF(ISERROR(VLOOKUP(Table1[[#This Row],[item]],INDIRECT("'"&amp;Table1[[#This Row],[sheet]]&amp;"'!$A$8:$T$42"),Table1[[#This Row],[r]],FALSE)),"",VLOOKUP(Table1[[#This Row],[item]],INDIRECT("'"&amp;Table1[[#This Row],[sheet]]&amp;"'!$A$8:$T$42"),Table1[[#This Row],[r]],FALSE))</f>
        <v>205147.66</v>
      </c>
      <c r="AE1332">
        <f>IF(VLOOKUP(Table1[[#This Row],[sheet]],Prg!$A$7:$J$31,10,FALSE)="","",VLOOKUP(Table1[[#This Row],[sheet]],Prg!$A$7:$J$31,10,FALSE)*1)</f>
        <v>2</v>
      </c>
      <c r="AF1332" t="str">
        <f>VLOOKUP(Table1[[#This Row],[sheet]],Prg!$A$7:$J$31,5,FALSE)</f>
        <v>R - ASIA - FAR EAST AREA</v>
      </c>
      <c r="AG1332">
        <f>ROW()</f>
        <v>1332</v>
      </c>
    </row>
    <row r="1333" spans="24:33" hidden="1" x14ac:dyDescent="0.25">
      <c r="X1333">
        <v>8</v>
      </c>
      <c r="Y1333" t="s">
        <v>759</v>
      </c>
      <c r="Z1333" t="s">
        <v>172</v>
      </c>
      <c r="AA1333" t="str">
        <f>IF(OR(VLOOKUP(Table1[[#This Row],[sheet]],Prg!$A$7:$F$31,6,FALSE)=Prg!$O$2,VLOOKUP(Table1[[#This Row],[sheet]],Prg!$A$7:$F$31,6,FALSE)=Prg!$O$3),"Yes","No")</f>
        <v>Yes</v>
      </c>
      <c r="AB1333">
        <v>2024</v>
      </c>
      <c r="AC1333">
        <v>17</v>
      </c>
      <c r="AD1333">
        <f ca="1">IF(ISERROR(VLOOKUP(Table1[[#This Row],[item]],INDIRECT("'"&amp;Table1[[#This Row],[sheet]]&amp;"'!$A$8:$T$42"),Table1[[#This Row],[r]],FALSE)),"",VLOOKUP(Table1[[#This Row],[item]],INDIRECT("'"&amp;Table1[[#This Row],[sheet]]&amp;"'!$A$8:$T$42"),Table1[[#This Row],[r]],FALSE))</f>
        <v>1600</v>
      </c>
      <c r="AE1333">
        <f>IF(VLOOKUP(Table1[[#This Row],[sheet]],Prg!$A$7:$J$31,10,FALSE)="","",VLOOKUP(Table1[[#This Row],[sheet]],Prg!$A$7:$J$31,10,FALSE)*1)</f>
        <v>2</v>
      </c>
      <c r="AF1333" t="str">
        <f>VLOOKUP(Table1[[#This Row],[sheet]],Prg!$A$7:$J$31,5,FALSE)</f>
        <v>R - ASIA - FAR EAST AREA</v>
      </c>
      <c r="AG1333">
        <f>ROW()</f>
        <v>1333</v>
      </c>
    </row>
    <row r="1334" spans="24:33" hidden="1" x14ac:dyDescent="0.25">
      <c r="X1334">
        <v>8</v>
      </c>
      <c r="Y1334" t="s">
        <v>760</v>
      </c>
      <c r="Z1334" t="s">
        <v>174</v>
      </c>
      <c r="AA1334" t="str">
        <f>IF(OR(VLOOKUP(Table1[[#This Row],[sheet]],Prg!$A$7:$F$31,6,FALSE)=Prg!$O$2,VLOOKUP(Table1[[#This Row],[sheet]],Prg!$A$7:$F$31,6,FALSE)=Prg!$O$3),"Yes","No")</f>
        <v>Yes</v>
      </c>
      <c r="AB1334">
        <v>2024</v>
      </c>
      <c r="AC1334">
        <v>17</v>
      </c>
      <c r="AD1334">
        <f ca="1">IF(ISERROR(VLOOKUP(Table1[[#This Row],[item]],INDIRECT("'"&amp;Table1[[#This Row],[sheet]]&amp;"'!$A$8:$T$42"),Table1[[#This Row],[r]],FALSE)),"",VLOOKUP(Table1[[#This Row],[item]],INDIRECT("'"&amp;Table1[[#This Row],[sheet]]&amp;"'!$A$8:$T$42"),Table1[[#This Row],[r]],FALSE))</f>
        <v>162647.66</v>
      </c>
      <c r="AE1334">
        <f>IF(VLOOKUP(Table1[[#This Row],[sheet]],Prg!$A$7:$J$31,10,FALSE)="","",VLOOKUP(Table1[[#This Row],[sheet]],Prg!$A$7:$J$31,10,FALSE)*1)</f>
        <v>2</v>
      </c>
      <c r="AF1334" t="str">
        <f>VLOOKUP(Table1[[#This Row],[sheet]],Prg!$A$7:$J$31,5,FALSE)</f>
        <v>R - ASIA - FAR EAST AREA</v>
      </c>
      <c r="AG1334">
        <f>ROW()</f>
        <v>1334</v>
      </c>
    </row>
    <row r="1335" spans="24:33" hidden="1" x14ac:dyDescent="0.25">
      <c r="X1335">
        <v>8</v>
      </c>
      <c r="Y1335" t="s">
        <v>761</v>
      </c>
      <c r="Z1335" t="s">
        <v>762</v>
      </c>
      <c r="AA1335" t="str">
        <f>IF(OR(VLOOKUP(Table1[[#This Row],[sheet]],Prg!$A$7:$F$31,6,FALSE)=Prg!$O$2,VLOOKUP(Table1[[#This Row],[sheet]],Prg!$A$7:$F$31,6,FALSE)=Prg!$O$3),"Yes","No")</f>
        <v>Yes</v>
      </c>
      <c r="AB1335">
        <v>2024</v>
      </c>
      <c r="AC1335">
        <v>17</v>
      </c>
      <c r="AD1335">
        <f ca="1">IF(ISERROR(VLOOKUP(Table1[[#This Row],[item]],INDIRECT("'"&amp;Table1[[#This Row],[sheet]]&amp;"'!$A$8:$T$42"),Table1[[#This Row],[r]],FALSE)),"",VLOOKUP(Table1[[#This Row],[item]],INDIRECT("'"&amp;Table1[[#This Row],[sheet]]&amp;"'!$A$8:$T$42"),Table1[[#This Row],[r]],FALSE))</f>
        <v>40900</v>
      </c>
      <c r="AE1335">
        <f>IF(VLOOKUP(Table1[[#This Row],[sheet]],Prg!$A$7:$J$31,10,FALSE)="","",VLOOKUP(Table1[[#This Row],[sheet]],Prg!$A$7:$J$31,10,FALSE)*1)</f>
        <v>2</v>
      </c>
      <c r="AF1335" t="str">
        <f>VLOOKUP(Table1[[#This Row],[sheet]],Prg!$A$7:$J$31,5,FALSE)</f>
        <v>R - ASIA - FAR EAST AREA</v>
      </c>
      <c r="AG1335">
        <f>ROW()</f>
        <v>1335</v>
      </c>
    </row>
    <row r="1336" spans="24:33" hidden="1" x14ac:dyDescent="0.25">
      <c r="X1336">
        <v>8</v>
      </c>
      <c r="Y1336" t="s">
        <v>763</v>
      </c>
      <c r="Z1336" t="s">
        <v>178</v>
      </c>
      <c r="AA1336" t="str">
        <f>IF(OR(VLOOKUP(Table1[[#This Row],[sheet]],Prg!$A$7:$F$31,6,FALSE)=Prg!$O$2,VLOOKUP(Table1[[#This Row],[sheet]],Prg!$A$7:$F$31,6,FALSE)=Prg!$O$3),"Yes","No")</f>
        <v>Yes</v>
      </c>
      <c r="AB1336">
        <v>2024</v>
      </c>
      <c r="AC1336">
        <v>17</v>
      </c>
      <c r="AD1336">
        <f ca="1">IF(ISERROR(VLOOKUP(Table1[[#This Row],[item]],INDIRECT("'"&amp;Table1[[#This Row],[sheet]]&amp;"'!$A$8:$T$42"),Table1[[#This Row],[r]],FALSE)),"",VLOOKUP(Table1[[#This Row],[item]],INDIRECT("'"&amp;Table1[[#This Row],[sheet]]&amp;"'!$A$8:$T$42"),Table1[[#This Row],[r]],FALSE))</f>
        <v>683135.7699999999</v>
      </c>
      <c r="AE1336">
        <f>IF(VLOOKUP(Table1[[#This Row],[sheet]],Prg!$A$7:$J$31,10,FALSE)="","",VLOOKUP(Table1[[#This Row],[sheet]],Prg!$A$7:$J$31,10,FALSE)*1)</f>
        <v>2</v>
      </c>
      <c r="AF1336" t="str">
        <f>VLOOKUP(Table1[[#This Row],[sheet]],Prg!$A$7:$J$31,5,FALSE)</f>
        <v>R - ASIA - FAR EAST AREA</v>
      </c>
      <c r="AG1336">
        <f>ROW()</f>
        <v>1336</v>
      </c>
    </row>
    <row r="1337" spans="24:33" hidden="1" x14ac:dyDescent="0.25">
      <c r="X1337">
        <v>8</v>
      </c>
      <c r="Y1337" t="s">
        <v>764</v>
      </c>
      <c r="Z1337" t="s">
        <v>109</v>
      </c>
      <c r="AA1337" t="str">
        <f>IF(OR(VLOOKUP(Table1[[#This Row],[sheet]],Prg!$A$7:$F$31,6,FALSE)=Prg!$O$2,VLOOKUP(Table1[[#This Row],[sheet]],Prg!$A$7:$F$31,6,FALSE)=Prg!$O$3),"Yes","No")</f>
        <v>Yes</v>
      </c>
      <c r="AB1337">
        <v>2024</v>
      </c>
      <c r="AC1337">
        <v>17</v>
      </c>
      <c r="AD1337">
        <f ca="1">IF(ISERROR(VLOOKUP(Table1[[#This Row],[item]],INDIRECT("'"&amp;Table1[[#This Row],[sheet]]&amp;"'!$A$8:$T$42"),Table1[[#This Row],[r]],FALSE)),"",VLOOKUP(Table1[[#This Row],[item]],INDIRECT("'"&amp;Table1[[#This Row],[sheet]]&amp;"'!$A$8:$T$42"),Table1[[#This Row],[r]],FALSE))</f>
        <v>1000</v>
      </c>
      <c r="AE1337">
        <f>IF(VLOOKUP(Table1[[#This Row],[sheet]],Prg!$A$7:$J$31,10,FALSE)="","",VLOOKUP(Table1[[#This Row],[sheet]],Prg!$A$7:$J$31,10,FALSE)*1)</f>
        <v>2</v>
      </c>
      <c r="AF1337" t="str">
        <f>VLOOKUP(Table1[[#This Row],[sheet]],Prg!$A$7:$J$31,5,FALSE)</f>
        <v>R - ASIA - FAR EAST AREA</v>
      </c>
      <c r="AG1337">
        <f>ROW()</f>
        <v>1337</v>
      </c>
    </row>
    <row r="1338" spans="24:33" hidden="1" x14ac:dyDescent="0.25">
      <c r="X1338">
        <v>8</v>
      </c>
      <c r="Y1338" t="s">
        <v>765</v>
      </c>
      <c r="Z1338" t="s">
        <v>117</v>
      </c>
      <c r="AA1338" t="str">
        <f>IF(OR(VLOOKUP(Table1[[#This Row],[sheet]],Prg!$A$7:$F$31,6,FALSE)=Prg!$O$2,VLOOKUP(Table1[[#This Row],[sheet]],Prg!$A$7:$F$31,6,FALSE)=Prg!$O$3),"Yes","No")</f>
        <v>Yes</v>
      </c>
      <c r="AB1338">
        <v>2024</v>
      </c>
      <c r="AC1338">
        <v>17</v>
      </c>
      <c r="AD1338">
        <f ca="1">IF(ISERROR(VLOOKUP(Table1[[#This Row],[item]],INDIRECT("'"&amp;Table1[[#This Row],[sheet]]&amp;"'!$A$8:$T$42"),Table1[[#This Row],[r]],FALSE)),"",VLOOKUP(Table1[[#This Row],[item]],INDIRECT("'"&amp;Table1[[#This Row],[sheet]]&amp;"'!$A$8:$T$42"),Table1[[#This Row],[r]],FALSE))</f>
        <v>174300.75999999998</v>
      </c>
      <c r="AE1338">
        <f>IF(VLOOKUP(Table1[[#This Row],[sheet]],Prg!$A$7:$J$31,10,FALSE)="","",VLOOKUP(Table1[[#This Row],[sheet]],Prg!$A$7:$J$31,10,FALSE)*1)</f>
        <v>2</v>
      </c>
      <c r="AF1338" t="str">
        <f>VLOOKUP(Table1[[#This Row],[sheet]],Prg!$A$7:$J$31,5,FALSE)</f>
        <v>R - ASIA - FAR EAST AREA</v>
      </c>
      <c r="AG1338">
        <f>ROW()</f>
        <v>1338</v>
      </c>
    </row>
    <row r="1339" spans="24:33" hidden="1" x14ac:dyDescent="0.25">
      <c r="X1339">
        <v>8</v>
      </c>
      <c r="Y1339" t="s">
        <v>766</v>
      </c>
      <c r="Z1339" t="s">
        <v>767</v>
      </c>
      <c r="AA1339" t="str">
        <f>IF(OR(VLOOKUP(Table1[[#This Row],[sheet]],Prg!$A$7:$F$31,6,FALSE)=Prg!$O$2,VLOOKUP(Table1[[#This Row],[sheet]],Prg!$A$7:$F$31,6,FALSE)=Prg!$O$3),"Yes","No")</f>
        <v>Yes</v>
      </c>
      <c r="AB1339">
        <v>2024</v>
      </c>
      <c r="AC1339">
        <v>17</v>
      </c>
      <c r="AD1339">
        <f ca="1">IF(ISERROR(VLOOKUP(Table1[[#This Row],[item]],INDIRECT("'"&amp;Table1[[#This Row],[sheet]]&amp;"'!$A$8:$T$42"),Table1[[#This Row],[r]],FALSE)),"",VLOOKUP(Table1[[#This Row],[item]],INDIRECT("'"&amp;Table1[[#This Row],[sheet]]&amp;"'!$A$8:$T$42"),Table1[[#This Row],[r]],FALSE))</f>
        <v>507835.00999999995</v>
      </c>
      <c r="AE1339">
        <f>IF(VLOOKUP(Table1[[#This Row],[sheet]],Prg!$A$7:$J$31,10,FALSE)="","",VLOOKUP(Table1[[#This Row],[sheet]],Prg!$A$7:$J$31,10,FALSE)*1)</f>
        <v>2</v>
      </c>
      <c r="AF1339" t="str">
        <f>VLOOKUP(Table1[[#This Row],[sheet]],Prg!$A$7:$J$31,5,FALSE)</f>
        <v>R - ASIA - FAR EAST AREA</v>
      </c>
      <c r="AG1339">
        <f>ROW()</f>
        <v>1339</v>
      </c>
    </row>
    <row r="1340" spans="24:33" hidden="1" x14ac:dyDescent="0.25">
      <c r="X1340">
        <v>8</v>
      </c>
      <c r="Y1340" t="s">
        <v>768</v>
      </c>
      <c r="Z1340" t="s">
        <v>182</v>
      </c>
      <c r="AA1340" t="str">
        <f>IF(OR(VLOOKUP(Table1[[#This Row],[sheet]],Prg!$A$7:$F$31,6,FALSE)=Prg!$O$2,VLOOKUP(Table1[[#This Row],[sheet]],Prg!$A$7:$F$31,6,FALSE)=Prg!$O$3),"Yes","No")</f>
        <v>Yes</v>
      </c>
      <c r="AB1340">
        <v>2024</v>
      </c>
      <c r="AC1340">
        <v>17</v>
      </c>
      <c r="AD1340">
        <f ca="1">IF(ISERROR(VLOOKUP(Table1[[#This Row],[item]],INDIRECT("'"&amp;Table1[[#This Row],[sheet]]&amp;"'!$A$8:$T$42"),Table1[[#This Row],[r]],FALSE)),"",VLOOKUP(Table1[[#This Row],[item]],INDIRECT("'"&amp;Table1[[#This Row],[sheet]]&amp;"'!$A$8:$T$42"),Table1[[#This Row],[r]],FALSE))</f>
        <v>12000</v>
      </c>
      <c r="AE1340">
        <f>IF(VLOOKUP(Table1[[#This Row],[sheet]],Prg!$A$7:$J$31,10,FALSE)="","",VLOOKUP(Table1[[#This Row],[sheet]],Prg!$A$7:$J$31,10,FALSE)*1)</f>
        <v>2</v>
      </c>
      <c r="AF1340" t="str">
        <f>VLOOKUP(Table1[[#This Row],[sheet]],Prg!$A$7:$J$31,5,FALSE)</f>
        <v>R - ASIA - FAR EAST AREA</v>
      </c>
      <c r="AG1340">
        <f>ROW()</f>
        <v>1340</v>
      </c>
    </row>
    <row r="1341" spans="24:33" hidden="1" x14ac:dyDescent="0.25">
      <c r="X1341">
        <v>8</v>
      </c>
      <c r="Y1341" t="s">
        <v>769</v>
      </c>
      <c r="Z1341" t="s">
        <v>184</v>
      </c>
      <c r="AA1341" t="str">
        <f>IF(OR(VLOOKUP(Table1[[#This Row],[sheet]],Prg!$A$7:$F$31,6,FALSE)=Prg!$O$2,VLOOKUP(Table1[[#This Row],[sheet]],Prg!$A$7:$F$31,6,FALSE)=Prg!$O$3),"Yes","No")</f>
        <v>Yes</v>
      </c>
      <c r="AB1341">
        <v>2024</v>
      </c>
      <c r="AC1341">
        <v>17</v>
      </c>
      <c r="AD1341">
        <f ca="1">IF(ISERROR(VLOOKUP(Table1[[#This Row],[item]],INDIRECT("'"&amp;Table1[[#This Row],[sheet]]&amp;"'!$A$8:$T$42"),Table1[[#This Row],[r]],FALSE)),"",VLOOKUP(Table1[[#This Row],[item]],INDIRECT("'"&amp;Table1[[#This Row],[sheet]]&amp;"'!$A$8:$T$42"),Table1[[#This Row],[r]],FALSE))</f>
        <v>0</v>
      </c>
      <c r="AE1341">
        <f>IF(VLOOKUP(Table1[[#This Row],[sheet]],Prg!$A$7:$J$31,10,FALSE)="","",VLOOKUP(Table1[[#This Row],[sheet]],Prg!$A$7:$J$31,10,FALSE)*1)</f>
        <v>2</v>
      </c>
      <c r="AF1341" t="str">
        <f>VLOOKUP(Table1[[#This Row],[sheet]],Prg!$A$7:$J$31,5,FALSE)</f>
        <v>R - ASIA - FAR EAST AREA</v>
      </c>
      <c r="AG1341">
        <f>ROW()</f>
        <v>1341</v>
      </c>
    </row>
    <row r="1342" spans="24:33" hidden="1" x14ac:dyDescent="0.25">
      <c r="X1342">
        <v>8</v>
      </c>
      <c r="Y1342" t="s">
        <v>770</v>
      </c>
      <c r="Z1342" t="s">
        <v>186</v>
      </c>
      <c r="AA1342" t="str">
        <f>IF(OR(VLOOKUP(Table1[[#This Row],[sheet]],Prg!$A$7:$F$31,6,FALSE)=Prg!$O$2,VLOOKUP(Table1[[#This Row],[sheet]],Prg!$A$7:$F$31,6,FALSE)=Prg!$O$3),"Yes","No")</f>
        <v>Yes</v>
      </c>
      <c r="AB1342">
        <v>2024</v>
      </c>
      <c r="AC1342">
        <v>17</v>
      </c>
      <c r="AD1342">
        <f ca="1">IF(ISERROR(VLOOKUP(Table1[[#This Row],[item]],INDIRECT("'"&amp;Table1[[#This Row],[sheet]]&amp;"'!$A$8:$T$42"),Table1[[#This Row],[r]],FALSE)),"",VLOOKUP(Table1[[#This Row],[item]],INDIRECT("'"&amp;Table1[[#This Row],[sheet]]&amp;"'!$A$8:$T$42"),Table1[[#This Row],[r]],FALSE))</f>
        <v>12000</v>
      </c>
      <c r="AE1342">
        <f>IF(VLOOKUP(Table1[[#This Row],[sheet]],Prg!$A$7:$J$31,10,FALSE)="","",VLOOKUP(Table1[[#This Row],[sheet]],Prg!$A$7:$J$31,10,FALSE)*1)</f>
        <v>2</v>
      </c>
      <c r="AF1342" t="str">
        <f>VLOOKUP(Table1[[#This Row],[sheet]],Prg!$A$7:$J$31,5,FALSE)</f>
        <v>R - ASIA - FAR EAST AREA</v>
      </c>
      <c r="AG1342">
        <f>ROW()</f>
        <v>1342</v>
      </c>
    </row>
    <row r="1343" spans="24:33" hidden="1" x14ac:dyDescent="0.25">
      <c r="X1343">
        <v>8</v>
      </c>
      <c r="Y1343" t="s">
        <v>771</v>
      </c>
      <c r="Z1343" t="s">
        <v>772</v>
      </c>
      <c r="AA1343" t="str">
        <f>IF(OR(VLOOKUP(Table1[[#This Row],[sheet]],Prg!$A$7:$F$31,6,FALSE)=Prg!$O$2,VLOOKUP(Table1[[#This Row],[sheet]],Prg!$A$7:$F$31,6,FALSE)=Prg!$O$3),"Yes","No")</f>
        <v>Yes</v>
      </c>
      <c r="AB1343">
        <v>2024</v>
      </c>
      <c r="AC1343">
        <v>17</v>
      </c>
      <c r="AD1343">
        <f ca="1">IF(ISERROR(VLOOKUP(Table1[[#This Row],[item]],INDIRECT("'"&amp;Table1[[#This Row],[sheet]]&amp;"'!$A$8:$T$42"),Table1[[#This Row],[r]],FALSE)),"",VLOOKUP(Table1[[#This Row],[item]],INDIRECT("'"&amp;Table1[[#This Row],[sheet]]&amp;"'!$A$8:$T$42"),Table1[[#This Row],[r]],FALSE))</f>
        <v>0</v>
      </c>
      <c r="AE1343">
        <f>IF(VLOOKUP(Table1[[#This Row],[sheet]],Prg!$A$7:$J$31,10,FALSE)="","",VLOOKUP(Table1[[#This Row],[sheet]],Prg!$A$7:$J$31,10,FALSE)*1)</f>
        <v>2</v>
      </c>
      <c r="AF1343" t="str">
        <f>VLOOKUP(Table1[[#This Row],[sheet]],Prg!$A$7:$J$31,5,FALSE)</f>
        <v>R - ASIA - FAR EAST AREA</v>
      </c>
      <c r="AG1343">
        <f>ROW()</f>
        <v>1343</v>
      </c>
    </row>
    <row r="1344" spans="24:33" hidden="1" x14ac:dyDescent="0.25">
      <c r="X1344">
        <v>8</v>
      </c>
      <c r="Y1344" t="s">
        <v>773</v>
      </c>
      <c r="Z1344" t="s">
        <v>190</v>
      </c>
      <c r="AA1344" t="str">
        <f>IF(OR(VLOOKUP(Table1[[#This Row],[sheet]],Prg!$A$7:$F$31,6,FALSE)=Prg!$O$2,VLOOKUP(Table1[[#This Row],[sheet]],Prg!$A$7:$F$31,6,FALSE)=Prg!$O$3),"Yes","No")</f>
        <v>Yes</v>
      </c>
      <c r="AB1344">
        <v>2024</v>
      </c>
      <c r="AC1344">
        <v>17</v>
      </c>
      <c r="AD1344">
        <f ca="1">IF(ISERROR(VLOOKUP(Table1[[#This Row],[item]],INDIRECT("'"&amp;Table1[[#This Row],[sheet]]&amp;"'!$A$8:$T$42"),Table1[[#This Row],[r]],FALSE)),"",VLOOKUP(Table1[[#This Row],[item]],INDIRECT("'"&amp;Table1[[#This Row],[sheet]]&amp;"'!$A$8:$T$42"),Table1[[#This Row],[r]],FALSE))</f>
        <v>2484496.4500000002</v>
      </c>
      <c r="AE1344">
        <f>IF(VLOOKUP(Table1[[#This Row],[sheet]],Prg!$A$7:$J$31,10,FALSE)="","",VLOOKUP(Table1[[#This Row],[sheet]],Prg!$A$7:$J$31,10,FALSE)*1)</f>
        <v>2</v>
      </c>
      <c r="AF1344" t="str">
        <f>VLOOKUP(Table1[[#This Row],[sheet]],Prg!$A$7:$J$31,5,FALSE)</f>
        <v>R - ASIA - FAR EAST AREA</v>
      </c>
      <c r="AG1344">
        <f>ROW()</f>
        <v>1344</v>
      </c>
    </row>
    <row r="1345" spans="24:33" hidden="1" x14ac:dyDescent="0.25">
      <c r="X1345">
        <v>8</v>
      </c>
      <c r="Y1345" t="s">
        <v>709</v>
      </c>
      <c r="Z1345" t="s">
        <v>192</v>
      </c>
      <c r="AA1345" t="str">
        <f>IF(OR(VLOOKUP(Table1[[#This Row],[sheet]],Prg!$A$7:$F$31,6,FALSE)=Prg!$O$2,VLOOKUP(Table1[[#This Row],[sheet]],Prg!$A$7:$F$31,6,FALSE)=Prg!$O$3),"Yes","No")</f>
        <v>Yes</v>
      </c>
      <c r="AB1345">
        <v>2024</v>
      </c>
      <c r="AC1345">
        <v>17</v>
      </c>
      <c r="AD1345">
        <f ca="1">IF(ISERROR(VLOOKUP(Table1[[#This Row],[item]],INDIRECT("'"&amp;Table1[[#This Row],[sheet]]&amp;"'!$A$8:$T$42"),Table1[[#This Row],[r]],FALSE)),"",VLOOKUP(Table1[[#This Row],[item]],INDIRECT("'"&amp;Table1[[#This Row],[sheet]]&amp;"'!$A$8:$T$42"),Table1[[#This Row],[r]],FALSE))</f>
        <v>6445</v>
      </c>
      <c r="AE1345">
        <f>IF(VLOOKUP(Table1[[#This Row],[sheet]],Prg!$A$7:$J$31,10,FALSE)="","",VLOOKUP(Table1[[#This Row],[sheet]],Prg!$A$7:$J$31,10,FALSE)*1)</f>
        <v>2</v>
      </c>
      <c r="AF1345" t="str">
        <f>VLOOKUP(Table1[[#This Row],[sheet]],Prg!$A$7:$J$31,5,FALSE)</f>
        <v>R - ASIA - FAR EAST AREA</v>
      </c>
      <c r="AG1345">
        <f>ROW()</f>
        <v>1345</v>
      </c>
    </row>
    <row r="1346" spans="24:33" hidden="1" x14ac:dyDescent="0.25">
      <c r="X1346">
        <v>8</v>
      </c>
      <c r="Y1346" t="s">
        <v>774</v>
      </c>
      <c r="Z1346" t="s">
        <v>194</v>
      </c>
      <c r="AA1346" t="str">
        <f>IF(OR(VLOOKUP(Table1[[#This Row],[sheet]],Prg!$A$7:$F$31,6,FALSE)=Prg!$O$2,VLOOKUP(Table1[[#This Row],[sheet]],Prg!$A$7:$F$31,6,FALSE)=Prg!$O$3),"Yes","No")</f>
        <v>Yes</v>
      </c>
      <c r="AB1346">
        <v>2024</v>
      </c>
      <c r="AC1346">
        <v>17</v>
      </c>
      <c r="AD1346">
        <f ca="1">IF(ISERROR(VLOOKUP(Table1[[#This Row],[item]],INDIRECT("'"&amp;Table1[[#This Row],[sheet]]&amp;"'!$A$8:$T$42"),Table1[[#This Row],[r]],FALSE)),"",VLOOKUP(Table1[[#This Row],[item]],INDIRECT("'"&amp;Table1[[#This Row],[sheet]]&amp;"'!$A$8:$T$42"),Table1[[#This Row],[r]],FALSE))</f>
        <v>0</v>
      </c>
      <c r="AE1346">
        <f>IF(VLOOKUP(Table1[[#This Row],[sheet]],Prg!$A$7:$J$31,10,FALSE)="","",VLOOKUP(Table1[[#This Row],[sheet]],Prg!$A$7:$J$31,10,FALSE)*1)</f>
        <v>2</v>
      </c>
      <c r="AF1346" t="str">
        <f>VLOOKUP(Table1[[#This Row],[sheet]],Prg!$A$7:$J$31,5,FALSE)</f>
        <v>R - ASIA - FAR EAST AREA</v>
      </c>
      <c r="AG1346">
        <f>ROW()</f>
        <v>1346</v>
      </c>
    </row>
    <row r="1347" spans="24:33" hidden="1" x14ac:dyDescent="0.25">
      <c r="X1347">
        <v>8</v>
      </c>
      <c r="Y1347" t="s">
        <v>775</v>
      </c>
      <c r="Z1347" t="s">
        <v>196</v>
      </c>
      <c r="AA1347" t="str">
        <f>IF(OR(VLOOKUP(Table1[[#This Row],[sheet]],Prg!$A$7:$F$31,6,FALSE)=Prg!$O$2,VLOOKUP(Table1[[#This Row],[sheet]],Prg!$A$7:$F$31,6,FALSE)=Prg!$O$3),"Yes","No")</f>
        <v>Yes</v>
      </c>
      <c r="AB1347">
        <v>2024</v>
      </c>
      <c r="AC1347">
        <v>17</v>
      </c>
      <c r="AD1347">
        <f ca="1">IF(ISERROR(VLOOKUP(Table1[[#This Row],[item]],INDIRECT("'"&amp;Table1[[#This Row],[sheet]]&amp;"'!$A$8:$T$42"),Table1[[#This Row],[r]],FALSE)),"",VLOOKUP(Table1[[#This Row],[item]],INDIRECT("'"&amp;Table1[[#This Row],[sheet]]&amp;"'!$A$8:$T$42"),Table1[[#This Row],[r]],FALSE))</f>
        <v>6445</v>
      </c>
      <c r="AE1347">
        <f>IF(VLOOKUP(Table1[[#This Row],[sheet]],Prg!$A$7:$J$31,10,FALSE)="","",VLOOKUP(Table1[[#This Row],[sheet]],Prg!$A$7:$J$31,10,FALSE)*1)</f>
        <v>2</v>
      </c>
      <c r="AF1347" t="str">
        <f>VLOOKUP(Table1[[#This Row],[sheet]],Prg!$A$7:$J$31,5,FALSE)</f>
        <v>R - ASIA - FAR EAST AREA</v>
      </c>
      <c r="AG1347">
        <f>ROW()</f>
        <v>1347</v>
      </c>
    </row>
    <row r="1348" spans="24:33" hidden="1" x14ac:dyDescent="0.25">
      <c r="X1348">
        <v>8</v>
      </c>
      <c r="Y1348" t="s">
        <v>776</v>
      </c>
      <c r="Z1348" t="s">
        <v>605</v>
      </c>
      <c r="AA1348" t="str">
        <f>IF(OR(VLOOKUP(Table1[[#This Row],[sheet]],Prg!$A$7:$F$31,6,FALSE)=Prg!$O$2,VLOOKUP(Table1[[#This Row],[sheet]],Prg!$A$7:$F$31,6,FALSE)=Prg!$O$3),"Yes","No")</f>
        <v>Yes</v>
      </c>
      <c r="AB1348">
        <v>2024</v>
      </c>
      <c r="AC1348">
        <v>17</v>
      </c>
      <c r="AD1348">
        <f ca="1">IF(ISERROR(VLOOKUP(Table1[[#This Row],[item]],INDIRECT("'"&amp;Table1[[#This Row],[sheet]]&amp;"'!$A$8:$T$42"),Table1[[#This Row],[r]],FALSE)),"",VLOOKUP(Table1[[#This Row],[item]],INDIRECT("'"&amp;Table1[[#This Row],[sheet]]&amp;"'!$A$8:$T$42"),Table1[[#This Row],[r]],FALSE))</f>
        <v>0</v>
      </c>
      <c r="AE1348">
        <f>IF(VLOOKUP(Table1[[#This Row],[sheet]],Prg!$A$7:$J$31,10,FALSE)="","",VLOOKUP(Table1[[#This Row],[sheet]],Prg!$A$7:$J$31,10,FALSE)*1)</f>
        <v>2</v>
      </c>
      <c r="AF1348" t="str">
        <f>VLOOKUP(Table1[[#This Row],[sheet]],Prg!$A$7:$J$31,5,FALSE)</f>
        <v>R - ASIA - FAR EAST AREA</v>
      </c>
      <c r="AG1348">
        <f>ROW()</f>
        <v>1348</v>
      </c>
    </row>
    <row r="1349" spans="24:33" hidden="1" x14ac:dyDescent="0.25">
      <c r="X1349">
        <v>8</v>
      </c>
      <c r="Y1349" t="s">
        <v>711</v>
      </c>
      <c r="Z1349" t="s">
        <v>200</v>
      </c>
      <c r="AA1349" t="str">
        <f>IF(OR(VLOOKUP(Table1[[#This Row],[sheet]],Prg!$A$7:$F$31,6,FALSE)=Prg!$O$2,VLOOKUP(Table1[[#This Row],[sheet]],Prg!$A$7:$F$31,6,FALSE)=Prg!$O$3),"Yes","No")</f>
        <v>Yes</v>
      </c>
      <c r="AB1349">
        <v>2024</v>
      </c>
      <c r="AC1349">
        <v>17</v>
      </c>
      <c r="AD1349">
        <f ca="1">IF(ISERROR(VLOOKUP(Table1[[#This Row],[item]],INDIRECT("'"&amp;Table1[[#This Row],[sheet]]&amp;"'!$A$8:$T$42"),Table1[[#This Row],[r]],FALSE)),"",VLOOKUP(Table1[[#This Row],[item]],INDIRECT("'"&amp;Table1[[#This Row],[sheet]]&amp;"'!$A$8:$T$42"),Table1[[#This Row],[r]],FALSE))</f>
        <v>1558644.3</v>
      </c>
      <c r="AE1349">
        <f>IF(VLOOKUP(Table1[[#This Row],[sheet]],Prg!$A$7:$J$31,10,FALSE)="","",VLOOKUP(Table1[[#This Row],[sheet]],Prg!$A$7:$J$31,10,FALSE)*1)</f>
        <v>2</v>
      </c>
      <c r="AF1349" t="str">
        <f>VLOOKUP(Table1[[#This Row],[sheet]],Prg!$A$7:$J$31,5,FALSE)</f>
        <v>R - ASIA - FAR EAST AREA</v>
      </c>
      <c r="AG1349">
        <f>ROW()</f>
        <v>1349</v>
      </c>
    </row>
    <row r="1350" spans="24:33" hidden="1" x14ac:dyDescent="0.25">
      <c r="X1350">
        <v>8</v>
      </c>
      <c r="Y1350" t="s">
        <v>777</v>
      </c>
      <c r="Z1350" t="s">
        <v>202</v>
      </c>
      <c r="AA1350" t="str">
        <f>IF(OR(VLOOKUP(Table1[[#This Row],[sheet]],Prg!$A$7:$F$31,6,FALSE)=Prg!$O$2,VLOOKUP(Table1[[#This Row],[sheet]],Prg!$A$7:$F$31,6,FALSE)=Prg!$O$3),"Yes","No")</f>
        <v>Yes</v>
      </c>
      <c r="AB1350">
        <v>2024</v>
      </c>
      <c r="AC1350">
        <v>17</v>
      </c>
      <c r="AD1350">
        <f ca="1">IF(ISERROR(VLOOKUP(Table1[[#This Row],[item]],INDIRECT("'"&amp;Table1[[#This Row],[sheet]]&amp;"'!$A$8:$T$42"),Table1[[#This Row],[r]],FALSE)),"",VLOOKUP(Table1[[#This Row],[item]],INDIRECT("'"&amp;Table1[[#This Row],[sheet]]&amp;"'!$A$8:$T$42"),Table1[[#This Row],[r]],FALSE))</f>
        <v>42080</v>
      </c>
      <c r="AE1350">
        <f>IF(VLOOKUP(Table1[[#This Row],[sheet]],Prg!$A$7:$J$31,10,FALSE)="","",VLOOKUP(Table1[[#This Row],[sheet]],Prg!$A$7:$J$31,10,FALSE)*1)</f>
        <v>2</v>
      </c>
      <c r="AF1350" t="str">
        <f>VLOOKUP(Table1[[#This Row],[sheet]],Prg!$A$7:$J$31,5,FALSE)</f>
        <v>R - ASIA - FAR EAST AREA</v>
      </c>
      <c r="AG1350">
        <f>ROW()</f>
        <v>1350</v>
      </c>
    </row>
    <row r="1351" spans="24:33" hidden="1" x14ac:dyDescent="0.25">
      <c r="X1351">
        <v>8</v>
      </c>
      <c r="Y1351" t="s">
        <v>778</v>
      </c>
      <c r="Z1351" t="s">
        <v>204</v>
      </c>
      <c r="AA1351" t="str">
        <f>IF(OR(VLOOKUP(Table1[[#This Row],[sheet]],Prg!$A$7:$F$31,6,FALSE)=Prg!$O$2,VLOOKUP(Table1[[#This Row],[sheet]],Prg!$A$7:$F$31,6,FALSE)=Prg!$O$3),"Yes","No")</f>
        <v>Yes</v>
      </c>
      <c r="AB1351">
        <v>2024</v>
      </c>
      <c r="AC1351">
        <v>17</v>
      </c>
      <c r="AD1351">
        <f ca="1">IF(ISERROR(VLOOKUP(Table1[[#This Row],[item]],INDIRECT("'"&amp;Table1[[#This Row],[sheet]]&amp;"'!$A$8:$T$42"),Table1[[#This Row],[r]],FALSE)),"",VLOOKUP(Table1[[#This Row],[item]],INDIRECT("'"&amp;Table1[[#This Row],[sheet]]&amp;"'!$A$8:$T$42"),Table1[[#This Row],[r]],FALSE))</f>
        <v>134874.29999999999</v>
      </c>
      <c r="AE1351">
        <f>IF(VLOOKUP(Table1[[#This Row],[sheet]],Prg!$A$7:$J$31,10,FALSE)="","",VLOOKUP(Table1[[#This Row],[sheet]],Prg!$A$7:$J$31,10,FALSE)*1)</f>
        <v>2</v>
      </c>
      <c r="AF1351" t="str">
        <f>VLOOKUP(Table1[[#This Row],[sheet]],Prg!$A$7:$J$31,5,FALSE)</f>
        <v>R - ASIA - FAR EAST AREA</v>
      </c>
      <c r="AG1351">
        <f>ROW()</f>
        <v>1351</v>
      </c>
    </row>
    <row r="1352" spans="24:33" hidden="1" x14ac:dyDescent="0.25">
      <c r="X1352">
        <v>8</v>
      </c>
      <c r="Y1352" t="s">
        <v>779</v>
      </c>
      <c r="Z1352" t="s">
        <v>605</v>
      </c>
      <c r="AA1352" t="str">
        <f>IF(OR(VLOOKUP(Table1[[#This Row],[sheet]],Prg!$A$7:$F$31,6,FALSE)=Prg!$O$2,VLOOKUP(Table1[[#This Row],[sheet]],Prg!$A$7:$F$31,6,FALSE)=Prg!$O$3),"Yes","No")</f>
        <v>Yes</v>
      </c>
      <c r="AB1352">
        <v>2024</v>
      </c>
      <c r="AC1352">
        <v>17</v>
      </c>
      <c r="AD1352">
        <f ca="1">IF(ISERROR(VLOOKUP(Table1[[#This Row],[item]],INDIRECT("'"&amp;Table1[[#This Row],[sheet]]&amp;"'!$A$8:$T$42"),Table1[[#This Row],[r]],FALSE)),"",VLOOKUP(Table1[[#This Row],[item]],INDIRECT("'"&amp;Table1[[#This Row],[sheet]]&amp;"'!$A$8:$T$42"),Table1[[#This Row],[r]],FALSE))</f>
        <v>1381690</v>
      </c>
      <c r="AE1352">
        <f>IF(VLOOKUP(Table1[[#This Row],[sheet]],Prg!$A$7:$J$31,10,FALSE)="","",VLOOKUP(Table1[[#This Row],[sheet]],Prg!$A$7:$J$31,10,FALSE)*1)</f>
        <v>2</v>
      </c>
      <c r="AF1352" t="str">
        <f>VLOOKUP(Table1[[#This Row],[sheet]],Prg!$A$7:$J$31,5,FALSE)</f>
        <v>R - ASIA - FAR EAST AREA</v>
      </c>
      <c r="AG1352">
        <f>ROW()</f>
        <v>1352</v>
      </c>
    </row>
    <row r="1353" spans="24:33" hidden="1" x14ac:dyDescent="0.25">
      <c r="X1353">
        <v>8</v>
      </c>
      <c r="Y1353" t="s">
        <v>712</v>
      </c>
      <c r="Z1353" t="s">
        <v>780</v>
      </c>
      <c r="AA1353" t="str">
        <f>IF(OR(VLOOKUP(Table1[[#This Row],[sheet]],Prg!$A$7:$F$31,6,FALSE)=Prg!$O$2,VLOOKUP(Table1[[#This Row],[sheet]],Prg!$A$7:$F$31,6,FALSE)=Prg!$O$3),"Yes","No")</f>
        <v>Yes</v>
      </c>
      <c r="AB1353">
        <v>2024</v>
      </c>
      <c r="AC1353">
        <v>17</v>
      </c>
      <c r="AD1353">
        <f ca="1">IF(ISERROR(VLOOKUP(Table1[[#This Row],[item]],INDIRECT("'"&amp;Table1[[#This Row],[sheet]]&amp;"'!$A$8:$T$42"),Table1[[#This Row],[r]],FALSE)),"",VLOOKUP(Table1[[#This Row],[item]],INDIRECT("'"&amp;Table1[[#This Row],[sheet]]&amp;"'!$A$8:$T$42"),Table1[[#This Row],[r]],FALSE))</f>
        <v>919407.15</v>
      </c>
      <c r="AE1353">
        <f>IF(VLOOKUP(Table1[[#This Row],[sheet]],Prg!$A$7:$J$31,10,FALSE)="","",VLOOKUP(Table1[[#This Row],[sheet]],Prg!$A$7:$J$31,10,FALSE)*1)</f>
        <v>2</v>
      </c>
      <c r="AF1353" t="str">
        <f>VLOOKUP(Table1[[#This Row],[sheet]],Prg!$A$7:$J$31,5,FALSE)</f>
        <v>R - ASIA - FAR EAST AREA</v>
      </c>
      <c r="AG1353">
        <f>ROW()</f>
        <v>1353</v>
      </c>
    </row>
    <row r="1354" spans="24:33" hidden="1" x14ac:dyDescent="0.25">
      <c r="X1354">
        <v>8</v>
      </c>
      <c r="Y1354" t="s">
        <v>781</v>
      </c>
      <c r="Z1354" t="s">
        <v>782</v>
      </c>
      <c r="AA1354" t="str">
        <f>IF(OR(VLOOKUP(Table1[[#This Row],[sheet]],Prg!$A$7:$F$31,6,FALSE)=Prg!$O$2,VLOOKUP(Table1[[#This Row],[sheet]],Prg!$A$7:$F$31,6,FALSE)=Prg!$O$3),"Yes","No")</f>
        <v>Yes</v>
      </c>
      <c r="AB1354">
        <v>2024</v>
      </c>
      <c r="AC1354">
        <v>17</v>
      </c>
      <c r="AD1354">
        <f ca="1">IF(ISERROR(VLOOKUP(Table1[[#This Row],[item]],INDIRECT("'"&amp;Table1[[#This Row],[sheet]]&amp;"'!$A$8:$T$42"),Table1[[#This Row],[r]],FALSE)),"",VLOOKUP(Table1[[#This Row],[item]],INDIRECT("'"&amp;Table1[[#This Row],[sheet]]&amp;"'!$A$8:$T$42"),Table1[[#This Row],[r]],FALSE))</f>
        <v>0</v>
      </c>
      <c r="AE1354">
        <f>IF(VLOOKUP(Table1[[#This Row],[sheet]],Prg!$A$7:$J$31,10,FALSE)="","",VLOOKUP(Table1[[#This Row],[sheet]],Prg!$A$7:$J$31,10,FALSE)*1)</f>
        <v>2</v>
      </c>
      <c r="AF1354" t="str">
        <f>VLOOKUP(Table1[[#This Row],[sheet]],Prg!$A$7:$J$31,5,FALSE)</f>
        <v>R - ASIA - FAR EAST AREA</v>
      </c>
      <c r="AG1354">
        <f>ROW()</f>
        <v>1354</v>
      </c>
    </row>
    <row r="1355" spans="24:33" hidden="1" x14ac:dyDescent="0.25">
      <c r="X1355">
        <v>8</v>
      </c>
      <c r="Y1355" t="s">
        <v>783</v>
      </c>
      <c r="Z1355" t="s">
        <v>784</v>
      </c>
      <c r="AA1355" t="str">
        <f>IF(OR(VLOOKUP(Table1[[#This Row],[sheet]],Prg!$A$7:$F$31,6,FALSE)=Prg!$O$2,VLOOKUP(Table1[[#This Row],[sheet]],Prg!$A$7:$F$31,6,FALSE)=Prg!$O$3),"Yes","No")</f>
        <v>Yes</v>
      </c>
      <c r="AB1355">
        <v>2024</v>
      </c>
      <c r="AC1355">
        <v>17</v>
      </c>
      <c r="AD1355">
        <f ca="1">IF(ISERROR(VLOOKUP(Table1[[#This Row],[item]],INDIRECT("'"&amp;Table1[[#This Row],[sheet]]&amp;"'!$A$8:$T$42"),Table1[[#This Row],[r]],FALSE)),"",VLOOKUP(Table1[[#This Row],[item]],INDIRECT("'"&amp;Table1[[#This Row],[sheet]]&amp;"'!$A$8:$T$42"),Table1[[#This Row],[r]],FALSE))</f>
        <v>19802.82</v>
      </c>
      <c r="AE1355">
        <f>IF(VLOOKUP(Table1[[#This Row],[sheet]],Prg!$A$7:$J$31,10,FALSE)="","",VLOOKUP(Table1[[#This Row],[sheet]],Prg!$A$7:$J$31,10,FALSE)*1)</f>
        <v>2</v>
      </c>
      <c r="AF1355" t="str">
        <f>VLOOKUP(Table1[[#This Row],[sheet]],Prg!$A$7:$J$31,5,FALSE)</f>
        <v>R - ASIA - FAR EAST AREA</v>
      </c>
      <c r="AG1355">
        <f>ROW()</f>
        <v>1355</v>
      </c>
    </row>
    <row r="1356" spans="24:33" hidden="1" x14ac:dyDescent="0.25">
      <c r="X1356">
        <v>8</v>
      </c>
      <c r="Y1356" t="s">
        <v>785</v>
      </c>
      <c r="Z1356" t="s">
        <v>786</v>
      </c>
      <c r="AA1356" t="str">
        <f>IF(OR(VLOOKUP(Table1[[#This Row],[sheet]],Prg!$A$7:$F$31,6,FALSE)=Prg!$O$2,VLOOKUP(Table1[[#This Row],[sheet]],Prg!$A$7:$F$31,6,FALSE)=Prg!$O$3),"Yes","No")</f>
        <v>Yes</v>
      </c>
      <c r="AB1356">
        <v>2024</v>
      </c>
      <c r="AC1356">
        <v>17</v>
      </c>
      <c r="AD1356">
        <f ca="1">IF(ISERROR(VLOOKUP(Table1[[#This Row],[item]],INDIRECT("'"&amp;Table1[[#This Row],[sheet]]&amp;"'!$A$8:$T$42"),Table1[[#This Row],[r]],FALSE)),"",VLOOKUP(Table1[[#This Row],[item]],INDIRECT("'"&amp;Table1[[#This Row],[sheet]]&amp;"'!$A$8:$T$42"),Table1[[#This Row],[r]],FALSE))</f>
        <v>897487.93</v>
      </c>
      <c r="AE1356">
        <f>IF(VLOOKUP(Table1[[#This Row],[sheet]],Prg!$A$7:$J$31,10,FALSE)="","",VLOOKUP(Table1[[#This Row],[sheet]],Prg!$A$7:$J$31,10,FALSE)*1)</f>
        <v>2</v>
      </c>
      <c r="AF1356" t="str">
        <f>VLOOKUP(Table1[[#This Row],[sheet]],Prg!$A$7:$J$31,5,FALSE)</f>
        <v>R - ASIA - FAR EAST AREA</v>
      </c>
      <c r="AG1356">
        <f>ROW()</f>
        <v>1356</v>
      </c>
    </row>
    <row r="1357" spans="24:33" hidden="1" x14ac:dyDescent="0.25">
      <c r="X1357">
        <v>8</v>
      </c>
      <c r="Y1357" t="s">
        <v>787</v>
      </c>
      <c r="Z1357" t="s">
        <v>633</v>
      </c>
      <c r="AA1357" t="str">
        <f>IF(OR(VLOOKUP(Table1[[#This Row],[sheet]],Prg!$A$7:$F$31,6,FALSE)=Prg!$O$2,VLOOKUP(Table1[[#This Row],[sheet]],Prg!$A$7:$F$31,6,FALSE)=Prg!$O$3),"Yes","No")</f>
        <v>Yes</v>
      </c>
      <c r="AB1357">
        <v>2024</v>
      </c>
      <c r="AC1357">
        <v>17</v>
      </c>
      <c r="AD1357">
        <f ca="1">IF(ISERROR(VLOOKUP(Table1[[#This Row],[item]],INDIRECT("'"&amp;Table1[[#This Row],[sheet]]&amp;"'!$A$8:$T$42"),Table1[[#This Row],[r]],FALSE)),"",VLOOKUP(Table1[[#This Row],[item]],INDIRECT("'"&amp;Table1[[#This Row],[sheet]]&amp;"'!$A$8:$T$42"),Table1[[#This Row],[r]],FALSE))</f>
        <v>2116.4</v>
      </c>
      <c r="AE1357">
        <f>IF(VLOOKUP(Table1[[#This Row],[sheet]],Prg!$A$7:$J$31,10,FALSE)="","",VLOOKUP(Table1[[#This Row],[sheet]],Prg!$A$7:$J$31,10,FALSE)*1)</f>
        <v>2</v>
      </c>
      <c r="AF1357" t="str">
        <f>VLOOKUP(Table1[[#This Row],[sheet]],Prg!$A$7:$J$31,5,FALSE)</f>
        <v>R - ASIA - FAR EAST AREA</v>
      </c>
      <c r="AG1357">
        <f>ROW()</f>
        <v>1357</v>
      </c>
    </row>
    <row r="1358" spans="24:33" hidden="1" x14ac:dyDescent="0.25">
      <c r="X1358">
        <v>8</v>
      </c>
      <c r="Y1358" t="s">
        <v>753</v>
      </c>
      <c r="Z1358" t="s">
        <v>162</v>
      </c>
      <c r="AA1358" t="str">
        <f>IF(OR(VLOOKUP(Table1[[#This Row],[sheet]],Prg!$A$7:$F$31,6,FALSE)=Prg!$O$2,VLOOKUP(Table1[[#This Row],[sheet]],Prg!$A$7:$F$31,6,FALSE)=Prg!$O$3),"Yes","No")</f>
        <v>Yes</v>
      </c>
      <c r="AB1358">
        <v>2025</v>
      </c>
      <c r="AC1358">
        <v>18</v>
      </c>
      <c r="AD1358">
        <f ca="1">IF(ISERROR(VLOOKUP(Table1[[#This Row],[item]],INDIRECT("'"&amp;Table1[[#This Row],[sheet]]&amp;"'!$A$8:$T$42"),Table1[[#This Row],[r]],FALSE)),"",VLOOKUP(Table1[[#This Row],[item]],INDIRECT("'"&amp;Table1[[#This Row],[sheet]]&amp;"'!$A$8:$T$42"),Table1[[#This Row],[r]],FALSE))</f>
        <v>1568887.97</v>
      </c>
      <c r="AE1358">
        <f>IF(VLOOKUP(Table1[[#This Row],[sheet]],Prg!$A$7:$J$31,10,FALSE)="","",VLOOKUP(Table1[[#This Row],[sheet]],Prg!$A$7:$J$31,10,FALSE)*1)</f>
        <v>2</v>
      </c>
      <c r="AF1358" t="str">
        <f>VLOOKUP(Table1[[#This Row],[sheet]],Prg!$A$7:$J$31,5,FALSE)</f>
        <v>R - ASIA - FAR EAST AREA</v>
      </c>
      <c r="AG1358">
        <f>ROW()</f>
        <v>1358</v>
      </c>
    </row>
    <row r="1359" spans="24:33" hidden="1" x14ac:dyDescent="0.25">
      <c r="X1359">
        <v>8</v>
      </c>
      <c r="Y1359" t="s">
        <v>754</v>
      </c>
      <c r="Z1359" t="s">
        <v>164</v>
      </c>
      <c r="AA1359" t="str">
        <f>IF(OR(VLOOKUP(Table1[[#This Row],[sheet]],Prg!$A$7:$F$31,6,FALSE)=Prg!$O$2,VLOOKUP(Table1[[#This Row],[sheet]],Prg!$A$7:$F$31,6,FALSE)=Prg!$O$3),"Yes","No")</f>
        <v>Yes</v>
      </c>
      <c r="AB1359">
        <v>2025</v>
      </c>
      <c r="AC1359">
        <v>18</v>
      </c>
      <c r="AD1359">
        <f ca="1">IF(ISERROR(VLOOKUP(Table1[[#This Row],[item]],INDIRECT("'"&amp;Table1[[#This Row],[sheet]]&amp;"'!$A$8:$T$42"),Table1[[#This Row],[r]],FALSE)),"",VLOOKUP(Table1[[#This Row],[item]],INDIRECT("'"&amp;Table1[[#This Row],[sheet]]&amp;"'!$A$8:$T$42"),Table1[[#This Row],[r]],FALSE))</f>
        <v>6180</v>
      </c>
      <c r="AE1359">
        <f>IF(VLOOKUP(Table1[[#This Row],[sheet]],Prg!$A$7:$J$31,10,FALSE)="","",VLOOKUP(Table1[[#This Row],[sheet]],Prg!$A$7:$J$31,10,FALSE)*1)</f>
        <v>2</v>
      </c>
      <c r="AF1359" t="str">
        <f>VLOOKUP(Table1[[#This Row],[sheet]],Prg!$A$7:$J$31,5,FALSE)</f>
        <v>R - ASIA - FAR EAST AREA</v>
      </c>
      <c r="AG1359">
        <f>ROW()</f>
        <v>1359</v>
      </c>
    </row>
    <row r="1360" spans="24:33" hidden="1" x14ac:dyDescent="0.25">
      <c r="X1360">
        <v>8</v>
      </c>
      <c r="Y1360" t="s">
        <v>755</v>
      </c>
      <c r="Z1360" t="s">
        <v>166</v>
      </c>
      <c r="AA1360" t="str">
        <f>IF(OR(VLOOKUP(Table1[[#This Row],[sheet]],Prg!$A$7:$F$31,6,FALSE)=Prg!$O$2,VLOOKUP(Table1[[#This Row],[sheet]],Prg!$A$7:$F$31,6,FALSE)=Prg!$O$3),"Yes","No")</f>
        <v>Yes</v>
      </c>
      <c r="AB1360">
        <v>2025</v>
      </c>
      <c r="AC1360">
        <v>18</v>
      </c>
      <c r="AD1360">
        <f ca="1">IF(ISERROR(VLOOKUP(Table1[[#This Row],[item]],INDIRECT("'"&amp;Table1[[#This Row],[sheet]]&amp;"'!$A$8:$T$42"),Table1[[#This Row],[r]],FALSE)),"",VLOOKUP(Table1[[#This Row],[item]],INDIRECT("'"&amp;Table1[[#This Row],[sheet]]&amp;"'!$A$8:$T$42"),Table1[[#This Row],[r]],FALSE))</f>
        <v>1187760.49</v>
      </c>
      <c r="AE1360">
        <f>IF(VLOOKUP(Table1[[#This Row],[sheet]],Prg!$A$7:$J$31,10,FALSE)="","",VLOOKUP(Table1[[#This Row],[sheet]],Prg!$A$7:$J$31,10,FALSE)*1)</f>
        <v>2</v>
      </c>
      <c r="AF1360" t="str">
        <f>VLOOKUP(Table1[[#This Row],[sheet]],Prg!$A$7:$J$31,5,FALSE)</f>
        <v>R - ASIA - FAR EAST AREA</v>
      </c>
      <c r="AG1360">
        <f>ROW()</f>
        <v>1360</v>
      </c>
    </row>
    <row r="1361" spans="24:33" hidden="1" x14ac:dyDescent="0.25">
      <c r="X1361">
        <v>8</v>
      </c>
      <c r="Y1361" t="s">
        <v>756</v>
      </c>
      <c r="Z1361" t="s">
        <v>757</v>
      </c>
      <c r="AA1361" t="str">
        <f>IF(OR(VLOOKUP(Table1[[#This Row],[sheet]],Prg!$A$7:$F$31,6,FALSE)=Prg!$O$2,VLOOKUP(Table1[[#This Row],[sheet]],Prg!$A$7:$F$31,6,FALSE)=Prg!$O$3),"Yes","No")</f>
        <v>Yes</v>
      </c>
      <c r="AB1361">
        <v>2025</v>
      </c>
      <c r="AC1361">
        <v>18</v>
      </c>
      <c r="AD1361">
        <f ca="1">IF(ISERROR(VLOOKUP(Table1[[#This Row],[item]],INDIRECT("'"&amp;Table1[[#This Row],[sheet]]&amp;"'!$A$8:$T$42"),Table1[[#This Row],[r]],FALSE)),"",VLOOKUP(Table1[[#This Row],[item]],INDIRECT("'"&amp;Table1[[#This Row],[sheet]]&amp;"'!$A$8:$T$42"),Table1[[#This Row],[r]],FALSE))</f>
        <v>374947.48</v>
      </c>
      <c r="AE1361">
        <f>IF(VLOOKUP(Table1[[#This Row],[sheet]],Prg!$A$7:$J$31,10,FALSE)="","",VLOOKUP(Table1[[#This Row],[sheet]],Prg!$A$7:$J$31,10,FALSE)*1)</f>
        <v>2</v>
      </c>
      <c r="AF1361" t="str">
        <f>VLOOKUP(Table1[[#This Row],[sheet]],Prg!$A$7:$J$31,5,FALSE)</f>
        <v>R - ASIA - FAR EAST AREA</v>
      </c>
      <c r="AG1361">
        <f>ROW()</f>
        <v>1361</v>
      </c>
    </row>
    <row r="1362" spans="24:33" hidden="1" x14ac:dyDescent="0.25">
      <c r="X1362">
        <v>8</v>
      </c>
      <c r="Y1362" t="s">
        <v>758</v>
      </c>
      <c r="Z1362" t="s">
        <v>170</v>
      </c>
      <c r="AA1362" t="str">
        <f>IF(OR(VLOOKUP(Table1[[#This Row],[sheet]],Prg!$A$7:$F$31,6,FALSE)=Prg!$O$2,VLOOKUP(Table1[[#This Row],[sheet]],Prg!$A$7:$F$31,6,FALSE)=Prg!$O$3),"Yes","No")</f>
        <v>Yes</v>
      </c>
      <c r="AB1362">
        <v>2025</v>
      </c>
      <c r="AC1362">
        <v>18</v>
      </c>
      <c r="AD1362">
        <f ca="1">IF(ISERROR(VLOOKUP(Table1[[#This Row],[item]],INDIRECT("'"&amp;Table1[[#This Row],[sheet]]&amp;"'!$A$8:$T$42"),Table1[[#This Row],[r]],FALSE)),"",VLOOKUP(Table1[[#This Row],[item]],INDIRECT("'"&amp;Table1[[#This Row],[sheet]]&amp;"'!$A$8:$T$42"),Table1[[#This Row],[r]],FALSE))</f>
        <v>171237</v>
      </c>
      <c r="AE1362">
        <f>IF(VLOOKUP(Table1[[#This Row],[sheet]],Prg!$A$7:$J$31,10,FALSE)="","",VLOOKUP(Table1[[#This Row],[sheet]],Prg!$A$7:$J$31,10,FALSE)*1)</f>
        <v>2</v>
      </c>
      <c r="AF1362" t="str">
        <f>VLOOKUP(Table1[[#This Row],[sheet]],Prg!$A$7:$J$31,5,FALSE)</f>
        <v>R - ASIA - FAR EAST AREA</v>
      </c>
      <c r="AG1362">
        <f>ROW()</f>
        <v>1362</v>
      </c>
    </row>
    <row r="1363" spans="24:33" hidden="1" x14ac:dyDescent="0.25">
      <c r="X1363">
        <v>8</v>
      </c>
      <c r="Y1363" t="s">
        <v>759</v>
      </c>
      <c r="Z1363" t="s">
        <v>172</v>
      </c>
      <c r="AA1363" t="str">
        <f>IF(OR(VLOOKUP(Table1[[#This Row],[sheet]],Prg!$A$7:$F$31,6,FALSE)=Prg!$O$2,VLOOKUP(Table1[[#This Row],[sheet]],Prg!$A$7:$F$31,6,FALSE)=Prg!$O$3),"Yes","No")</f>
        <v>Yes</v>
      </c>
      <c r="AB1363">
        <v>2025</v>
      </c>
      <c r="AC1363">
        <v>18</v>
      </c>
      <c r="AD1363">
        <f ca="1">IF(ISERROR(VLOOKUP(Table1[[#This Row],[item]],INDIRECT("'"&amp;Table1[[#This Row],[sheet]]&amp;"'!$A$8:$T$42"),Table1[[#This Row],[r]],FALSE)),"",VLOOKUP(Table1[[#This Row],[item]],INDIRECT("'"&amp;Table1[[#This Row],[sheet]]&amp;"'!$A$8:$T$42"),Table1[[#This Row],[r]],FALSE))</f>
        <v>2000</v>
      </c>
      <c r="AE1363">
        <f>IF(VLOOKUP(Table1[[#This Row],[sheet]],Prg!$A$7:$J$31,10,FALSE)="","",VLOOKUP(Table1[[#This Row],[sheet]],Prg!$A$7:$J$31,10,FALSE)*1)</f>
        <v>2</v>
      </c>
      <c r="AF1363" t="str">
        <f>VLOOKUP(Table1[[#This Row],[sheet]],Prg!$A$7:$J$31,5,FALSE)</f>
        <v>R - ASIA - FAR EAST AREA</v>
      </c>
      <c r="AG1363">
        <f>ROW()</f>
        <v>1363</v>
      </c>
    </row>
    <row r="1364" spans="24:33" hidden="1" x14ac:dyDescent="0.25">
      <c r="X1364">
        <v>8</v>
      </c>
      <c r="Y1364" t="s">
        <v>760</v>
      </c>
      <c r="Z1364" t="s">
        <v>174</v>
      </c>
      <c r="AA1364" t="str">
        <f>IF(OR(VLOOKUP(Table1[[#This Row],[sheet]],Prg!$A$7:$F$31,6,FALSE)=Prg!$O$2,VLOOKUP(Table1[[#This Row],[sheet]],Prg!$A$7:$F$31,6,FALSE)=Prg!$O$3),"Yes","No")</f>
        <v>Yes</v>
      </c>
      <c r="AB1364">
        <v>2025</v>
      </c>
      <c r="AC1364">
        <v>18</v>
      </c>
      <c r="AD1364">
        <f ca="1">IF(ISERROR(VLOOKUP(Table1[[#This Row],[item]],INDIRECT("'"&amp;Table1[[#This Row],[sheet]]&amp;"'!$A$8:$T$42"),Table1[[#This Row],[r]],FALSE)),"",VLOOKUP(Table1[[#This Row],[item]],INDIRECT("'"&amp;Table1[[#This Row],[sheet]]&amp;"'!$A$8:$T$42"),Table1[[#This Row],[r]],FALSE))</f>
        <v>128237</v>
      </c>
      <c r="AE1364">
        <f>IF(VLOOKUP(Table1[[#This Row],[sheet]],Prg!$A$7:$J$31,10,FALSE)="","",VLOOKUP(Table1[[#This Row],[sheet]],Prg!$A$7:$J$31,10,FALSE)*1)</f>
        <v>2</v>
      </c>
      <c r="AF1364" t="str">
        <f>VLOOKUP(Table1[[#This Row],[sheet]],Prg!$A$7:$J$31,5,FALSE)</f>
        <v>R - ASIA - FAR EAST AREA</v>
      </c>
      <c r="AG1364">
        <f>ROW()</f>
        <v>1364</v>
      </c>
    </row>
    <row r="1365" spans="24:33" hidden="1" x14ac:dyDescent="0.25">
      <c r="X1365">
        <v>8</v>
      </c>
      <c r="Y1365" t="s">
        <v>761</v>
      </c>
      <c r="Z1365" t="s">
        <v>762</v>
      </c>
      <c r="AA1365" t="str">
        <f>IF(OR(VLOOKUP(Table1[[#This Row],[sheet]],Prg!$A$7:$F$31,6,FALSE)=Prg!$O$2,VLOOKUP(Table1[[#This Row],[sheet]],Prg!$A$7:$F$31,6,FALSE)=Prg!$O$3),"Yes","No")</f>
        <v>Yes</v>
      </c>
      <c r="AB1365">
        <v>2025</v>
      </c>
      <c r="AC1365">
        <v>18</v>
      </c>
      <c r="AD1365">
        <f ca="1">IF(ISERROR(VLOOKUP(Table1[[#This Row],[item]],INDIRECT("'"&amp;Table1[[#This Row],[sheet]]&amp;"'!$A$8:$T$42"),Table1[[#This Row],[r]],FALSE)),"",VLOOKUP(Table1[[#This Row],[item]],INDIRECT("'"&amp;Table1[[#This Row],[sheet]]&amp;"'!$A$8:$T$42"),Table1[[#This Row],[r]],FALSE))</f>
        <v>41000</v>
      </c>
      <c r="AE1365">
        <f>IF(VLOOKUP(Table1[[#This Row],[sheet]],Prg!$A$7:$J$31,10,FALSE)="","",VLOOKUP(Table1[[#This Row],[sheet]],Prg!$A$7:$J$31,10,FALSE)*1)</f>
        <v>2</v>
      </c>
      <c r="AF1365" t="str">
        <f>VLOOKUP(Table1[[#This Row],[sheet]],Prg!$A$7:$J$31,5,FALSE)</f>
        <v>R - ASIA - FAR EAST AREA</v>
      </c>
      <c r="AG1365">
        <f>ROW()</f>
        <v>1365</v>
      </c>
    </row>
    <row r="1366" spans="24:33" hidden="1" x14ac:dyDescent="0.25">
      <c r="X1366">
        <v>8</v>
      </c>
      <c r="Y1366" t="s">
        <v>763</v>
      </c>
      <c r="Z1366" t="s">
        <v>178</v>
      </c>
      <c r="AA1366" t="str">
        <f>IF(OR(VLOOKUP(Table1[[#This Row],[sheet]],Prg!$A$7:$F$31,6,FALSE)=Prg!$O$2,VLOOKUP(Table1[[#This Row],[sheet]],Prg!$A$7:$F$31,6,FALSE)=Prg!$O$3),"Yes","No")</f>
        <v>Yes</v>
      </c>
      <c r="AB1366">
        <v>2025</v>
      </c>
      <c r="AC1366">
        <v>18</v>
      </c>
      <c r="AD1366">
        <f ca="1">IF(ISERROR(VLOOKUP(Table1[[#This Row],[item]],INDIRECT("'"&amp;Table1[[#This Row],[sheet]]&amp;"'!$A$8:$T$42"),Table1[[#This Row],[r]],FALSE)),"",VLOOKUP(Table1[[#This Row],[item]],INDIRECT("'"&amp;Table1[[#This Row],[sheet]]&amp;"'!$A$8:$T$42"),Table1[[#This Row],[r]],FALSE))</f>
        <v>667105.49</v>
      </c>
      <c r="AE1366">
        <f>IF(VLOOKUP(Table1[[#This Row],[sheet]],Prg!$A$7:$J$31,10,FALSE)="","",VLOOKUP(Table1[[#This Row],[sheet]],Prg!$A$7:$J$31,10,FALSE)*1)</f>
        <v>2</v>
      </c>
      <c r="AF1366" t="str">
        <f>VLOOKUP(Table1[[#This Row],[sheet]],Prg!$A$7:$J$31,5,FALSE)</f>
        <v>R - ASIA - FAR EAST AREA</v>
      </c>
      <c r="AG1366">
        <f>ROW()</f>
        <v>1366</v>
      </c>
    </row>
    <row r="1367" spans="24:33" hidden="1" x14ac:dyDescent="0.25">
      <c r="X1367">
        <v>8</v>
      </c>
      <c r="Y1367" t="s">
        <v>764</v>
      </c>
      <c r="Z1367" t="s">
        <v>109</v>
      </c>
      <c r="AA1367" t="str">
        <f>IF(OR(VLOOKUP(Table1[[#This Row],[sheet]],Prg!$A$7:$F$31,6,FALSE)=Prg!$O$2,VLOOKUP(Table1[[#This Row],[sheet]],Prg!$A$7:$F$31,6,FALSE)=Prg!$O$3),"Yes","No")</f>
        <v>Yes</v>
      </c>
      <c r="AB1367">
        <v>2025</v>
      </c>
      <c r="AC1367">
        <v>18</v>
      </c>
      <c r="AD1367">
        <f ca="1">IF(ISERROR(VLOOKUP(Table1[[#This Row],[item]],INDIRECT("'"&amp;Table1[[#This Row],[sheet]]&amp;"'!$A$8:$T$42"),Table1[[#This Row],[r]],FALSE)),"",VLOOKUP(Table1[[#This Row],[item]],INDIRECT("'"&amp;Table1[[#This Row],[sheet]]&amp;"'!$A$8:$T$42"),Table1[[#This Row],[r]],FALSE))</f>
        <v>1000</v>
      </c>
      <c r="AE1367">
        <f>IF(VLOOKUP(Table1[[#This Row],[sheet]],Prg!$A$7:$J$31,10,FALSE)="","",VLOOKUP(Table1[[#This Row],[sheet]],Prg!$A$7:$J$31,10,FALSE)*1)</f>
        <v>2</v>
      </c>
      <c r="AF1367" t="str">
        <f>VLOOKUP(Table1[[#This Row],[sheet]],Prg!$A$7:$J$31,5,FALSE)</f>
        <v>R - ASIA - FAR EAST AREA</v>
      </c>
      <c r="AG1367">
        <f>ROW()</f>
        <v>1367</v>
      </c>
    </row>
    <row r="1368" spans="24:33" hidden="1" x14ac:dyDescent="0.25">
      <c r="X1368">
        <v>8</v>
      </c>
      <c r="Y1368" t="s">
        <v>765</v>
      </c>
      <c r="Z1368" t="s">
        <v>117</v>
      </c>
      <c r="AA1368" t="str">
        <f>IF(OR(VLOOKUP(Table1[[#This Row],[sheet]],Prg!$A$7:$F$31,6,FALSE)=Prg!$O$2,VLOOKUP(Table1[[#This Row],[sheet]],Prg!$A$7:$F$31,6,FALSE)=Prg!$O$3),"Yes","No")</f>
        <v>Yes</v>
      </c>
      <c r="AB1368">
        <v>2025</v>
      </c>
      <c r="AC1368">
        <v>18</v>
      </c>
      <c r="AD1368">
        <f ca="1">IF(ISERROR(VLOOKUP(Table1[[#This Row],[item]],INDIRECT("'"&amp;Table1[[#This Row],[sheet]]&amp;"'!$A$8:$T$42"),Table1[[#This Row],[r]],FALSE)),"",VLOOKUP(Table1[[#This Row],[item]],INDIRECT("'"&amp;Table1[[#This Row],[sheet]]&amp;"'!$A$8:$T$42"),Table1[[#This Row],[r]],FALSE))</f>
        <v>151717.01999999999</v>
      </c>
      <c r="AE1368">
        <f>IF(VLOOKUP(Table1[[#This Row],[sheet]],Prg!$A$7:$J$31,10,FALSE)="","",VLOOKUP(Table1[[#This Row],[sheet]],Prg!$A$7:$J$31,10,FALSE)*1)</f>
        <v>2</v>
      </c>
      <c r="AF1368" t="str">
        <f>VLOOKUP(Table1[[#This Row],[sheet]],Prg!$A$7:$J$31,5,FALSE)</f>
        <v>R - ASIA - FAR EAST AREA</v>
      </c>
      <c r="AG1368">
        <f>ROW()</f>
        <v>1368</v>
      </c>
    </row>
    <row r="1369" spans="24:33" hidden="1" x14ac:dyDescent="0.25">
      <c r="X1369">
        <v>8</v>
      </c>
      <c r="Y1369" t="s">
        <v>766</v>
      </c>
      <c r="Z1369" t="s">
        <v>767</v>
      </c>
      <c r="AA1369" t="str">
        <f>IF(OR(VLOOKUP(Table1[[#This Row],[sheet]],Prg!$A$7:$F$31,6,FALSE)=Prg!$O$2,VLOOKUP(Table1[[#This Row],[sheet]],Prg!$A$7:$F$31,6,FALSE)=Prg!$O$3),"Yes","No")</f>
        <v>Yes</v>
      </c>
      <c r="AB1369">
        <v>2025</v>
      </c>
      <c r="AC1369">
        <v>18</v>
      </c>
      <c r="AD1369">
        <f ca="1">IF(ISERROR(VLOOKUP(Table1[[#This Row],[item]],INDIRECT("'"&amp;Table1[[#This Row],[sheet]]&amp;"'!$A$8:$T$42"),Table1[[#This Row],[r]],FALSE)),"",VLOOKUP(Table1[[#This Row],[item]],INDIRECT("'"&amp;Table1[[#This Row],[sheet]]&amp;"'!$A$8:$T$42"),Table1[[#This Row],[r]],FALSE))</f>
        <v>514388.47</v>
      </c>
      <c r="AE1369">
        <f>IF(VLOOKUP(Table1[[#This Row],[sheet]],Prg!$A$7:$J$31,10,FALSE)="","",VLOOKUP(Table1[[#This Row],[sheet]],Prg!$A$7:$J$31,10,FALSE)*1)</f>
        <v>2</v>
      </c>
      <c r="AF1369" t="str">
        <f>VLOOKUP(Table1[[#This Row],[sheet]],Prg!$A$7:$J$31,5,FALSE)</f>
        <v>R - ASIA - FAR EAST AREA</v>
      </c>
      <c r="AG1369">
        <f>ROW()</f>
        <v>1369</v>
      </c>
    </row>
    <row r="1370" spans="24:33" hidden="1" x14ac:dyDescent="0.25">
      <c r="X1370">
        <v>8</v>
      </c>
      <c r="Y1370" t="s">
        <v>768</v>
      </c>
      <c r="Z1370" t="s">
        <v>182</v>
      </c>
      <c r="AA1370" t="str">
        <f>IF(OR(VLOOKUP(Table1[[#This Row],[sheet]],Prg!$A$7:$F$31,6,FALSE)=Prg!$O$2,VLOOKUP(Table1[[#This Row],[sheet]],Prg!$A$7:$F$31,6,FALSE)=Prg!$O$3),"Yes","No")</f>
        <v>Yes</v>
      </c>
      <c r="AB1370">
        <v>2025</v>
      </c>
      <c r="AC1370">
        <v>18</v>
      </c>
      <c r="AD1370">
        <f ca="1">IF(ISERROR(VLOOKUP(Table1[[#This Row],[item]],INDIRECT("'"&amp;Table1[[#This Row],[sheet]]&amp;"'!$A$8:$T$42"),Table1[[#This Row],[r]],FALSE)),"",VLOOKUP(Table1[[#This Row],[item]],INDIRECT("'"&amp;Table1[[#This Row],[sheet]]&amp;"'!$A$8:$T$42"),Table1[[#This Row],[r]],FALSE))</f>
        <v>12000</v>
      </c>
      <c r="AE1370">
        <f>IF(VLOOKUP(Table1[[#This Row],[sheet]],Prg!$A$7:$J$31,10,FALSE)="","",VLOOKUP(Table1[[#This Row],[sheet]],Prg!$A$7:$J$31,10,FALSE)*1)</f>
        <v>2</v>
      </c>
      <c r="AF1370" t="str">
        <f>VLOOKUP(Table1[[#This Row],[sheet]],Prg!$A$7:$J$31,5,FALSE)</f>
        <v>R - ASIA - FAR EAST AREA</v>
      </c>
      <c r="AG1370">
        <f>ROW()</f>
        <v>1370</v>
      </c>
    </row>
    <row r="1371" spans="24:33" hidden="1" x14ac:dyDescent="0.25">
      <c r="X1371">
        <v>8</v>
      </c>
      <c r="Y1371" t="s">
        <v>769</v>
      </c>
      <c r="Z1371" t="s">
        <v>184</v>
      </c>
      <c r="AA1371" t="str">
        <f>IF(OR(VLOOKUP(Table1[[#This Row],[sheet]],Prg!$A$7:$F$31,6,FALSE)=Prg!$O$2,VLOOKUP(Table1[[#This Row],[sheet]],Prg!$A$7:$F$31,6,FALSE)=Prg!$O$3),"Yes","No")</f>
        <v>Yes</v>
      </c>
      <c r="AB1371">
        <v>2025</v>
      </c>
      <c r="AC1371">
        <v>18</v>
      </c>
      <c r="AD1371">
        <f ca="1">IF(ISERROR(VLOOKUP(Table1[[#This Row],[item]],INDIRECT("'"&amp;Table1[[#This Row],[sheet]]&amp;"'!$A$8:$T$42"),Table1[[#This Row],[r]],FALSE)),"",VLOOKUP(Table1[[#This Row],[item]],INDIRECT("'"&amp;Table1[[#This Row],[sheet]]&amp;"'!$A$8:$T$42"),Table1[[#This Row],[r]],FALSE))</f>
        <v>0</v>
      </c>
      <c r="AE1371">
        <f>IF(VLOOKUP(Table1[[#This Row],[sheet]],Prg!$A$7:$J$31,10,FALSE)="","",VLOOKUP(Table1[[#This Row],[sheet]],Prg!$A$7:$J$31,10,FALSE)*1)</f>
        <v>2</v>
      </c>
      <c r="AF1371" t="str">
        <f>VLOOKUP(Table1[[#This Row],[sheet]],Prg!$A$7:$J$31,5,FALSE)</f>
        <v>R - ASIA - FAR EAST AREA</v>
      </c>
      <c r="AG1371">
        <f>ROW()</f>
        <v>1371</v>
      </c>
    </row>
    <row r="1372" spans="24:33" hidden="1" x14ac:dyDescent="0.25">
      <c r="X1372">
        <v>8</v>
      </c>
      <c r="Y1372" t="s">
        <v>770</v>
      </c>
      <c r="Z1372" t="s">
        <v>186</v>
      </c>
      <c r="AA1372" t="str">
        <f>IF(OR(VLOOKUP(Table1[[#This Row],[sheet]],Prg!$A$7:$F$31,6,FALSE)=Prg!$O$2,VLOOKUP(Table1[[#This Row],[sheet]],Prg!$A$7:$F$31,6,FALSE)=Prg!$O$3),"Yes","No")</f>
        <v>Yes</v>
      </c>
      <c r="AB1372">
        <v>2025</v>
      </c>
      <c r="AC1372">
        <v>18</v>
      </c>
      <c r="AD1372">
        <f ca="1">IF(ISERROR(VLOOKUP(Table1[[#This Row],[item]],INDIRECT("'"&amp;Table1[[#This Row],[sheet]]&amp;"'!$A$8:$T$42"),Table1[[#This Row],[r]],FALSE)),"",VLOOKUP(Table1[[#This Row],[item]],INDIRECT("'"&amp;Table1[[#This Row],[sheet]]&amp;"'!$A$8:$T$42"),Table1[[#This Row],[r]],FALSE))</f>
        <v>12000</v>
      </c>
      <c r="AE1372">
        <f>IF(VLOOKUP(Table1[[#This Row],[sheet]],Prg!$A$7:$J$31,10,FALSE)="","",VLOOKUP(Table1[[#This Row],[sheet]],Prg!$A$7:$J$31,10,FALSE)*1)</f>
        <v>2</v>
      </c>
      <c r="AF1372" t="str">
        <f>VLOOKUP(Table1[[#This Row],[sheet]],Prg!$A$7:$J$31,5,FALSE)</f>
        <v>R - ASIA - FAR EAST AREA</v>
      </c>
      <c r="AG1372">
        <f>ROW()</f>
        <v>1372</v>
      </c>
    </row>
    <row r="1373" spans="24:33" hidden="1" x14ac:dyDescent="0.25">
      <c r="X1373">
        <v>8</v>
      </c>
      <c r="Y1373" t="s">
        <v>771</v>
      </c>
      <c r="Z1373" t="s">
        <v>772</v>
      </c>
      <c r="AA1373" t="str">
        <f>IF(OR(VLOOKUP(Table1[[#This Row],[sheet]],Prg!$A$7:$F$31,6,FALSE)=Prg!$O$2,VLOOKUP(Table1[[#This Row],[sheet]],Prg!$A$7:$F$31,6,FALSE)=Prg!$O$3),"Yes","No")</f>
        <v>Yes</v>
      </c>
      <c r="AB1373">
        <v>2025</v>
      </c>
      <c r="AC1373">
        <v>18</v>
      </c>
      <c r="AD1373">
        <f ca="1">IF(ISERROR(VLOOKUP(Table1[[#This Row],[item]],INDIRECT("'"&amp;Table1[[#This Row],[sheet]]&amp;"'!$A$8:$T$42"),Table1[[#This Row],[r]],FALSE)),"",VLOOKUP(Table1[[#This Row],[item]],INDIRECT("'"&amp;Table1[[#This Row],[sheet]]&amp;"'!$A$8:$T$42"),Table1[[#This Row],[r]],FALSE))</f>
        <v>0</v>
      </c>
      <c r="AE1373">
        <f>IF(VLOOKUP(Table1[[#This Row],[sheet]],Prg!$A$7:$J$31,10,FALSE)="","",VLOOKUP(Table1[[#This Row],[sheet]],Prg!$A$7:$J$31,10,FALSE)*1)</f>
        <v>2</v>
      </c>
      <c r="AF1373" t="str">
        <f>VLOOKUP(Table1[[#This Row],[sheet]],Prg!$A$7:$J$31,5,FALSE)</f>
        <v>R - ASIA - FAR EAST AREA</v>
      </c>
      <c r="AG1373">
        <f>ROW()</f>
        <v>1373</v>
      </c>
    </row>
    <row r="1374" spans="24:33" hidden="1" x14ac:dyDescent="0.25">
      <c r="X1374">
        <v>8</v>
      </c>
      <c r="Y1374" t="s">
        <v>773</v>
      </c>
      <c r="Z1374" t="s">
        <v>190</v>
      </c>
      <c r="AA1374" t="str">
        <f>IF(OR(VLOOKUP(Table1[[#This Row],[sheet]],Prg!$A$7:$F$31,6,FALSE)=Prg!$O$2,VLOOKUP(Table1[[#This Row],[sheet]],Prg!$A$7:$F$31,6,FALSE)=Prg!$O$3),"Yes","No")</f>
        <v>Yes</v>
      </c>
      <c r="AB1374">
        <v>2025</v>
      </c>
      <c r="AC1374">
        <v>18</v>
      </c>
      <c r="AD1374">
        <f ca="1">IF(ISERROR(VLOOKUP(Table1[[#This Row],[item]],INDIRECT("'"&amp;Table1[[#This Row],[sheet]]&amp;"'!$A$8:$T$42"),Table1[[#This Row],[r]],FALSE)),"",VLOOKUP(Table1[[#This Row],[item]],INDIRECT("'"&amp;Table1[[#This Row],[sheet]]&amp;"'!$A$8:$T$42"),Table1[[#This Row],[r]],FALSE))</f>
        <v>2419230.46</v>
      </c>
      <c r="AE1374">
        <f>IF(VLOOKUP(Table1[[#This Row],[sheet]],Prg!$A$7:$J$31,10,FALSE)="","",VLOOKUP(Table1[[#This Row],[sheet]],Prg!$A$7:$J$31,10,FALSE)*1)</f>
        <v>2</v>
      </c>
      <c r="AF1374" t="str">
        <f>VLOOKUP(Table1[[#This Row],[sheet]],Prg!$A$7:$J$31,5,FALSE)</f>
        <v>R - ASIA - FAR EAST AREA</v>
      </c>
      <c r="AG1374">
        <f>ROW()</f>
        <v>1374</v>
      </c>
    </row>
    <row r="1375" spans="24:33" hidden="1" x14ac:dyDescent="0.25">
      <c r="X1375">
        <v>8</v>
      </c>
      <c r="Y1375" t="s">
        <v>709</v>
      </c>
      <c r="Z1375" t="s">
        <v>192</v>
      </c>
      <c r="AA1375" t="str">
        <f>IF(OR(VLOOKUP(Table1[[#This Row],[sheet]],Prg!$A$7:$F$31,6,FALSE)=Prg!$O$2,VLOOKUP(Table1[[#This Row],[sheet]],Prg!$A$7:$F$31,6,FALSE)=Prg!$O$3),"Yes","No")</f>
        <v>Yes</v>
      </c>
      <c r="AB1375">
        <v>2025</v>
      </c>
      <c r="AC1375">
        <v>18</v>
      </c>
      <c r="AD1375">
        <f ca="1">IF(ISERROR(VLOOKUP(Table1[[#This Row],[item]],INDIRECT("'"&amp;Table1[[#This Row],[sheet]]&amp;"'!$A$8:$T$42"),Table1[[#This Row],[r]],FALSE)),"",VLOOKUP(Table1[[#This Row],[item]],INDIRECT("'"&amp;Table1[[#This Row],[sheet]]&amp;"'!$A$8:$T$42"),Table1[[#This Row],[r]],FALSE))</f>
        <v>9180</v>
      </c>
      <c r="AE1375">
        <f>IF(VLOOKUP(Table1[[#This Row],[sheet]],Prg!$A$7:$J$31,10,FALSE)="","",VLOOKUP(Table1[[#This Row],[sheet]],Prg!$A$7:$J$31,10,FALSE)*1)</f>
        <v>2</v>
      </c>
      <c r="AF1375" t="str">
        <f>VLOOKUP(Table1[[#This Row],[sheet]],Prg!$A$7:$J$31,5,FALSE)</f>
        <v>R - ASIA - FAR EAST AREA</v>
      </c>
      <c r="AG1375">
        <f>ROW()</f>
        <v>1375</v>
      </c>
    </row>
    <row r="1376" spans="24:33" hidden="1" x14ac:dyDescent="0.25">
      <c r="X1376">
        <v>8</v>
      </c>
      <c r="Y1376" t="s">
        <v>774</v>
      </c>
      <c r="Z1376" t="s">
        <v>194</v>
      </c>
      <c r="AA1376" t="str">
        <f>IF(OR(VLOOKUP(Table1[[#This Row],[sheet]],Prg!$A$7:$F$31,6,FALSE)=Prg!$O$2,VLOOKUP(Table1[[#This Row],[sheet]],Prg!$A$7:$F$31,6,FALSE)=Prg!$O$3),"Yes","No")</f>
        <v>Yes</v>
      </c>
      <c r="AB1376">
        <v>2025</v>
      </c>
      <c r="AC1376">
        <v>18</v>
      </c>
      <c r="AD1376">
        <f ca="1">IF(ISERROR(VLOOKUP(Table1[[#This Row],[item]],INDIRECT("'"&amp;Table1[[#This Row],[sheet]]&amp;"'!$A$8:$T$42"),Table1[[#This Row],[r]],FALSE)),"",VLOOKUP(Table1[[#This Row],[item]],INDIRECT("'"&amp;Table1[[#This Row],[sheet]]&amp;"'!$A$8:$T$42"),Table1[[#This Row],[r]],FALSE))</f>
        <v>0</v>
      </c>
      <c r="AE1376">
        <f>IF(VLOOKUP(Table1[[#This Row],[sheet]],Prg!$A$7:$J$31,10,FALSE)="","",VLOOKUP(Table1[[#This Row],[sheet]],Prg!$A$7:$J$31,10,FALSE)*1)</f>
        <v>2</v>
      </c>
      <c r="AF1376" t="str">
        <f>VLOOKUP(Table1[[#This Row],[sheet]],Prg!$A$7:$J$31,5,FALSE)</f>
        <v>R - ASIA - FAR EAST AREA</v>
      </c>
      <c r="AG1376">
        <f>ROW()</f>
        <v>1376</v>
      </c>
    </row>
    <row r="1377" spans="24:33" hidden="1" x14ac:dyDescent="0.25">
      <c r="X1377">
        <v>8</v>
      </c>
      <c r="Y1377" t="s">
        <v>775</v>
      </c>
      <c r="Z1377" t="s">
        <v>196</v>
      </c>
      <c r="AA1377" t="str">
        <f>IF(OR(VLOOKUP(Table1[[#This Row],[sheet]],Prg!$A$7:$F$31,6,FALSE)=Prg!$O$2,VLOOKUP(Table1[[#This Row],[sheet]],Prg!$A$7:$F$31,6,FALSE)=Prg!$O$3),"Yes","No")</f>
        <v>Yes</v>
      </c>
      <c r="AB1377">
        <v>2025</v>
      </c>
      <c r="AC1377">
        <v>18</v>
      </c>
      <c r="AD1377">
        <f ca="1">IF(ISERROR(VLOOKUP(Table1[[#This Row],[item]],INDIRECT("'"&amp;Table1[[#This Row],[sheet]]&amp;"'!$A$8:$T$42"),Table1[[#This Row],[r]],FALSE)),"",VLOOKUP(Table1[[#This Row],[item]],INDIRECT("'"&amp;Table1[[#This Row],[sheet]]&amp;"'!$A$8:$T$42"),Table1[[#This Row],[r]],FALSE))</f>
        <v>9180</v>
      </c>
      <c r="AE1377">
        <f>IF(VLOOKUP(Table1[[#This Row],[sheet]],Prg!$A$7:$J$31,10,FALSE)="","",VLOOKUP(Table1[[#This Row],[sheet]],Prg!$A$7:$J$31,10,FALSE)*1)</f>
        <v>2</v>
      </c>
      <c r="AF1377" t="str">
        <f>VLOOKUP(Table1[[#This Row],[sheet]],Prg!$A$7:$J$31,5,FALSE)</f>
        <v>R - ASIA - FAR EAST AREA</v>
      </c>
      <c r="AG1377">
        <f>ROW()</f>
        <v>1377</v>
      </c>
    </row>
    <row r="1378" spans="24:33" hidden="1" x14ac:dyDescent="0.25">
      <c r="X1378">
        <v>8</v>
      </c>
      <c r="Y1378" t="s">
        <v>776</v>
      </c>
      <c r="Z1378" t="s">
        <v>605</v>
      </c>
      <c r="AA1378" t="str">
        <f>IF(OR(VLOOKUP(Table1[[#This Row],[sheet]],Prg!$A$7:$F$31,6,FALSE)=Prg!$O$2,VLOOKUP(Table1[[#This Row],[sheet]],Prg!$A$7:$F$31,6,FALSE)=Prg!$O$3),"Yes","No")</f>
        <v>Yes</v>
      </c>
      <c r="AB1378">
        <v>2025</v>
      </c>
      <c r="AC1378">
        <v>18</v>
      </c>
      <c r="AD1378">
        <f ca="1">IF(ISERROR(VLOOKUP(Table1[[#This Row],[item]],INDIRECT("'"&amp;Table1[[#This Row],[sheet]]&amp;"'!$A$8:$T$42"),Table1[[#This Row],[r]],FALSE)),"",VLOOKUP(Table1[[#This Row],[item]],INDIRECT("'"&amp;Table1[[#This Row],[sheet]]&amp;"'!$A$8:$T$42"),Table1[[#This Row],[r]],FALSE))</f>
        <v>0</v>
      </c>
      <c r="AE1378">
        <f>IF(VLOOKUP(Table1[[#This Row],[sheet]],Prg!$A$7:$J$31,10,FALSE)="","",VLOOKUP(Table1[[#This Row],[sheet]],Prg!$A$7:$J$31,10,FALSE)*1)</f>
        <v>2</v>
      </c>
      <c r="AF1378" t="str">
        <f>VLOOKUP(Table1[[#This Row],[sheet]],Prg!$A$7:$J$31,5,FALSE)</f>
        <v>R - ASIA - FAR EAST AREA</v>
      </c>
      <c r="AG1378">
        <f>ROW()</f>
        <v>1378</v>
      </c>
    </row>
    <row r="1379" spans="24:33" hidden="1" x14ac:dyDescent="0.25">
      <c r="X1379">
        <v>8</v>
      </c>
      <c r="Y1379" t="s">
        <v>711</v>
      </c>
      <c r="Z1379" t="s">
        <v>200</v>
      </c>
      <c r="AA1379" t="str">
        <f>IF(OR(VLOOKUP(Table1[[#This Row],[sheet]],Prg!$A$7:$F$31,6,FALSE)=Prg!$O$2,VLOOKUP(Table1[[#This Row],[sheet]],Prg!$A$7:$F$31,6,FALSE)=Prg!$O$3),"Yes","No")</f>
        <v>Yes</v>
      </c>
      <c r="AB1379">
        <v>2025</v>
      </c>
      <c r="AC1379">
        <v>18</v>
      </c>
      <c r="AD1379">
        <f ca="1">IF(ISERROR(VLOOKUP(Table1[[#This Row],[item]],INDIRECT("'"&amp;Table1[[#This Row],[sheet]]&amp;"'!$A$8:$T$42"),Table1[[#This Row],[r]],FALSE)),"",VLOOKUP(Table1[[#This Row],[item]],INDIRECT("'"&amp;Table1[[#This Row],[sheet]]&amp;"'!$A$8:$T$42"),Table1[[#This Row],[r]],FALSE))</f>
        <v>1479714.51</v>
      </c>
      <c r="AE1379">
        <f>IF(VLOOKUP(Table1[[#This Row],[sheet]],Prg!$A$7:$J$31,10,FALSE)="","",VLOOKUP(Table1[[#This Row],[sheet]],Prg!$A$7:$J$31,10,FALSE)*1)</f>
        <v>2</v>
      </c>
      <c r="AF1379" t="str">
        <f>VLOOKUP(Table1[[#This Row],[sheet]],Prg!$A$7:$J$31,5,FALSE)</f>
        <v>R - ASIA - FAR EAST AREA</v>
      </c>
      <c r="AG1379">
        <f>ROW()</f>
        <v>1379</v>
      </c>
    </row>
    <row r="1380" spans="24:33" hidden="1" x14ac:dyDescent="0.25">
      <c r="X1380">
        <v>8</v>
      </c>
      <c r="Y1380" t="s">
        <v>777</v>
      </c>
      <c r="Z1380" t="s">
        <v>202</v>
      </c>
      <c r="AA1380" t="str">
        <f>IF(OR(VLOOKUP(Table1[[#This Row],[sheet]],Prg!$A$7:$F$31,6,FALSE)=Prg!$O$2,VLOOKUP(Table1[[#This Row],[sheet]],Prg!$A$7:$F$31,6,FALSE)=Prg!$O$3),"Yes","No")</f>
        <v>Yes</v>
      </c>
      <c r="AB1380">
        <v>2025</v>
      </c>
      <c r="AC1380">
        <v>18</v>
      </c>
      <c r="AD1380">
        <f ca="1">IF(ISERROR(VLOOKUP(Table1[[#This Row],[item]],INDIRECT("'"&amp;Table1[[#This Row],[sheet]]&amp;"'!$A$8:$T$42"),Table1[[#This Row],[r]],FALSE)),"",VLOOKUP(Table1[[#This Row],[item]],INDIRECT("'"&amp;Table1[[#This Row],[sheet]]&amp;"'!$A$8:$T$42"),Table1[[#This Row],[r]],FALSE))</f>
        <v>37580</v>
      </c>
      <c r="AE1380">
        <f>IF(VLOOKUP(Table1[[#This Row],[sheet]],Prg!$A$7:$J$31,10,FALSE)="","",VLOOKUP(Table1[[#This Row],[sheet]],Prg!$A$7:$J$31,10,FALSE)*1)</f>
        <v>2</v>
      </c>
      <c r="AF1380" t="str">
        <f>VLOOKUP(Table1[[#This Row],[sheet]],Prg!$A$7:$J$31,5,FALSE)</f>
        <v>R - ASIA - FAR EAST AREA</v>
      </c>
      <c r="AG1380">
        <f>ROW()</f>
        <v>1380</v>
      </c>
    </row>
    <row r="1381" spans="24:33" hidden="1" x14ac:dyDescent="0.25">
      <c r="X1381">
        <v>8</v>
      </c>
      <c r="Y1381" t="s">
        <v>778</v>
      </c>
      <c r="Z1381" t="s">
        <v>204</v>
      </c>
      <c r="AA1381" t="str">
        <f>IF(OR(VLOOKUP(Table1[[#This Row],[sheet]],Prg!$A$7:$F$31,6,FALSE)=Prg!$O$2,VLOOKUP(Table1[[#This Row],[sheet]],Prg!$A$7:$F$31,6,FALSE)=Prg!$O$3),"Yes","No")</f>
        <v>Yes</v>
      </c>
      <c r="AB1381">
        <v>2025</v>
      </c>
      <c r="AC1381">
        <v>18</v>
      </c>
      <c r="AD1381">
        <f ca="1">IF(ISERROR(VLOOKUP(Table1[[#This Row],[item]],INDIRECT("'"&amp;Table1[[#This Row],[sheet]]&amp;"'!$A$8:$T$42"),Table1[[#This Row],[r]],FALSE)),"",VLOOKUP(Table1[[#This Row],[item]],INDIRECT("'"&amp;Table1[[#This Row],[sheet]]&amp;"'!$A$8:$T$42"),Table1[[#This Row],[r]],FALSE))</f>
        <v>136604.51</v>
      </c>
      <c r="AE1381">
        <f>IF(VLOOKUP(Table1[[#This Row],[sheet]],Prg!$A$7:$J$31,10,FALSE)="","",VLOOKUP(Table1[[#This Row],[sheet]],Prg!$A$7:$J$31,10,FALSE)*1)</f>
        <v>2</v>
      </c>
      <c r="AF1381" t="str">
        <f>VLOOKUP(Table1[[#This Row],[sheet]],Prg!$A$7:$J$31,5,FALSE)</f>
        <v>R - ASIA - FAR EAST AREA</v>
      </c>
      <c r="AG1381">
        <f>ROW()</f>
        <v>1381</v>
      </c>
    </row>
    <row r="1382" spans="24:33" hidden="1" x14ac:dyDescent="0.25">
      <c r="X1382">
        <v>8</v>
      </c>
      <c r="Y1382" t="s">
        <v>779</v>
      </c>
      <c r="Z1382" t="s">
        <v>605</v>
      </c>
      <c r="AA1382" t="str">
        <f>IF(OR(VLOOKUP(Table1[[#This Row],[sheet]],Prg!$A$7:$F$31,6,FALSE)=Prg!$O$2,VLOOKUP(Table1[[#This Row],[sheet]],Prg!$A$7:$F$31,6,FALSE)=Prg!$O$3),"Yes","No")</f>
        <v>Yes</v>
      </c>
      <c r="AB1382">
        <v>2025</v>
      </c>
      <c r="AC1382">
        <v>18</v>
      </c>
      <c r="AD1382">
        <f ca="1">IF(ISERROR(VLOOKUP(Table1[[#This Row],[item]],INDIRECT("'"&amp;Table1[[#This Row],[sheet]]&amp;"'!$A$8:$T$42"),Table1[[#This Row],[r]],FALSE)),"",VLOOKUP(Table1[[#This Row],[item]],INDIRECT("'"&amp;Table1[[#This Row],[sheet]]&amp;"'!$A$8:$T$42"),Table1[[#This Row],[r]],FALSE))</f>
        <v>1305530</v>
      </c>
      <c r="AE1382">
        <f>IF(VLOOKUP(Table1[[#This Row],[sheet]],Prg!$A$7:$J$31,10,FALSE)="","",VLOOKUP(Table1[[#This Row],[sheet]],Prg!$A$7:$J$31,10,FALSE)*1)</f>
        <v>2</v>
      </c>
      <c r="AF1382" t="str">
        <f>VLOOKUP(Table1[[#This Row],[sheet]],Prg!$A$7:$J$31,5,FALSE)</f>
        <v>R - ASIA - FAR EAST AREA</v>
      </c>
      <c r="AG1382">
        <f>ROW()</f>
        <v>1382</v>
      </c>
    </row>
    <row r="1383" spans="24:33" hidden="1" x14ac:dyDescent="0.25">
      <c r="X1383">
        <v>8</v>
      </c>
      <c r="Y1383" t="s">
        <v>712</v>
      </c>
      <c r="Z1383" t="s">
        <v>780</v>
      </c>
      <c r="AA1383" t="str">
        <f>IF(OR(VLOOKUP(Table1[[#This Row],[sheet]],Prg!$A$7:$F$31,6,FALSE)=Prg!$O$2,VLOOKUP(Table1[[#This Row],[sheet]],Prg!$A$7:$F$31,6,FALSE)=Prg!$O$3),"Yes","No")</f>
        <v>Yes</v>
      </c>
      <c r="AB1383">
        <v>2025</v>
      </c>
      <c r="AC1383">
        <v>18</v>
      </c>
      <c r="AD1383">
        <f ca="1">IF(ISERROR(VLOOKUP(Table1[[#This Row],[item]],INDIRECT("'"&amp;Table1[[#This Row],[sheet]]&amp;"'!$A$8:$T$42"),Table1[[#This Row],[r]],FALSE)),"",VLOOKUP(Table1[[#This Row],[item]],INDIRECT("'"&amp;Table1[[#This Row],[sheet]]&amp;"'!$A$8:$T$42"),Table1[[#This Row],[r]],FALSE))</f>
        <v>930335.95</v>
      </c>
      <c r="AE1383">
        <f>IF(VLOOKUP(Table1[[#This Row],[sheet]],Prg!$A$7:$J$31,10,FALSE)="","",VLOOKUP(Table1[[#This Row],[sheet]],Prg!$A$7:$J$31,10,FALSE)*1)</f>
        <v>2</v>
      </c>
      <c r="AF1383" t="str">
        <f>VLOOKUP(Table1[[#This Row],[sheet]],Prg!$A$7:$J$31,5,FALSE)</f>
        <v>R - ASIA - FAR EAST AREA</v>
      </c>
      <c r="AG1383">
        <f>ROW()</f>
        <v>1383</v>
      </c>
    </row>
    <row r="1384" spans="24:33" hidden="1" x14ac:dyDescent="0.25">
      <c r="X1384">
        <v>8</v>
      </c>
      <c r="Y1384" t="s">
        <v>781</v>
      </c>
      <c r="Z1384" t="s">
        <v>782</v>
      </c>
      <c r="AA1384" t="str">
        <f>IF(OR(VLOOKUP(Table1[[#This Row],[sheet]],Prg!$A$7:$F$31,6,FALSE)=Prg!$O$2,VLOOKUP(Table1[[#This Row],[sheet]],Prg!$A$7:$F$31,6,FALSE)=Prg!$O$3),"Yes","No")</f>
        <v>Yes</v>
      </c>
      <c r="AB1384">
        <v>2025</v>
      </c>
      <c r="AC1384">
        <v>18</v>
      </c>
      <c r="AD1384">
        <f ca="1">IF(ISERROR(VLOOKUP(Table1[[#This Row],[item]],INDIRECT("'"&amp;Table1[[#This Row],[sheet]]&amp;"'!$A$8:$T$42"),Table1[[#This Row],[r]],FALSE)),"",VLOOKUP(Table1[[#This Row],[item]],INDIRECT("'"&amp;Table1[[#This Row],[sheet]]&amp;"'!$A$8:$T$42"),Table1[[#This Row],[r]],FALSE))</f>
        <v>0</v>
      </c>
      <c r="AE1384">
        <f>IF(VLOOKUP(Table1[[#This Row],[sheet]],Prg!$A$7:$J$31,10,FALSE)="","",VLOOKUP(Table1[[#This Row],[sheet]],Prg!$A$7:$J$31,10,FALSE)*1)</f>
        <v>2</v>
      </c>
      <c r="AF1384" t="str">
        <f>VLOOKUP(Table1[[#This Row],[sheet]],Prg!$A$7:$J$31,5,FALSE)</f>
        <v>R - ASIA - FAR EAST AREA</v>
      </c>
      <c r="AG1384">
        <f>ROW()</f>
        <v>1384</v>
      </c>
    </row>
    <row r="1385" spans="24:33" hidden="1" x14ac:dyDescent="0.25">
      <c r="X1385">
        <v>8</v>
      </c>
      <c r="Y1385" t="s">
        <v>783</v>
      </c>
      <c r="Z1385" t="s">
        <v>784</v>
      </c>
      <c r="AA1385" t="str">
        <f>IF(OR(VLOOKUP(Table1[[#This Row],[sheet]],Prg!$A$7:$F$31,6,FALSE)=Prg!$O$2,VLOOKUP(Table1[[#This Row],[sheet]],Prg!$A$7:$F$31,6,FALSE)=Prg!$O$3),"Yes","No")</f>
        <v>Yes</v>
      </c>
      <c r="AB1385">
        <v>2025</v>
      </c>
      <c r="AC1385">
        <v>18</v>
      </c>
      <c r="AD1385">
        <f ca="1">IF(ISERROR(VLOOKUP(Table1[[#This Row],[item]],INDIRECT("'"&amp;Table1[[#This Row],[sheet]]&amp;"'!$A$8:$T$42"),Table1[[#This Row],[r]],FALSE)),"",VLOOKUP(Table1[[#This Row],[item]],INDIRECT("'"&amp;Table1[[#This Row],[sheet]]&amp;"'!$A$8:$T$42"),Table1[[#This Row],[r]],FALSE))</f>
        <v>20552.96</v>
      </c>
      <c r="AE1385">
        <f>IF(VLOOKUP(Table1[[#This Row],[sheet]],Prg!$A$7:$J$31,10,FALSE)="","",VLOOKUP(Table1[[#This Row],[sheet]],Prg!$A$7:$J$31,10,FALSE)*1)</f>
        <v>2</v>
      </c>
      <c r="AF1385" t="str">
        <f>VLOOKUP(Table1[[#This Row],[sheet]],Prg!$A$7:$J$31,5,FALSE)</f>
        <v>R - ASIA - FAR EAST AREA</v>
      </c>
      <c r="AG1385">
        <f>ROW()</f>
        <v>1385</v>
      </c>
    </row>
    <row r="1386" spans="24:33" hidden="1" x14ac:dyDescent="0.25">
      <c r="X1386">
        <v>8</v>
      </c>
      <c r="Y1386" t="s">
        <v>785</v>
      </c>
      <c r="Z1386" t="s">
        <v>786</v>
      </c>
      <c r="AA1386" t="str">
        <f>IF(OR(VLOOKUP(Table1[[#This Row],[sheet]],Prg!$A$7:$F$31,6,FALSE)=Prg!$O$2,VLOOKUP(Table1[[#This Row],[sheet]],Prg!$A$7:$F$31,6,FALSE)=Prg!$O$3),"Yes","No")</f>
        <v>Yes</v>
      </c>
      <c r="AB1386">
        <v>2025</v>
      </c>
      <c r="AC1386">
        <v>18</v>
      </c>
      <c r="AD1386">
        <f ca="1">IF(ISERROR(VLOOKUP(Table1[[#This Row],[item]],INDIRECT("'"&amp;Table1[[#This Row],[sheet]]&amp;"'!$A$8:$T$42"),Table1[[#This Row],[r]],FALSE)),"",VLOOKUP(Table1[[#This Row],[item]],INDIRECT("'"&amp;Table1[[#This Row],[sheet]]&amp;"'!$A$8:$T$42"),Table1[[#This Row],[r]],FALSE))</f>
        <v>907666.59</v>
      </c>
      <c r="AE1386">
        <f>IF(VLOOKUP(Table1[[#This Row],[sheet]],Prg!$A$7:$J$31,10,FALSE)="","",VLOOKUP(Table1[[#This Row],[sheet]],Prg!$A$7:$J$31,10,FALSE)*1)</f>
        <v>2</v>
      </c>
      <c r="AF1386" t="str">
        <f>VLOOKUP(Table1[[#This Row],[sheet]],Prg!$A$7:$J$31,5,FALSE)</f>
        <v>R - ASIA - FAR EAST AREA</v>
      </c>
      <c r="AG1386">
        <f>ROW()</f>
        <v>1386</v>
      </c>
    </row>
    <row r="1387" spans="24:33" hidden="1" x14ac:dyDescent="0.25">
      <c r="X1387">
        <v>8</v>
      </c>
      <c r="Y1387" t="s">
        <v>787</v>
      </c>
      <c r="Z1387" t="s">
        <v>633</v>
      </c>
      <c r="AA1387" t="str">
        <f>IF(OR(VLOOKUP(Table1[[#This Row],[sheet]],Prg!$A$7:$F$31,6,FALSE)=Prg!$O$2,VLOOKUP(Table1[[#This Row],[sheet]],Prg!$A$7:$F$31,6,FALSE)=Prg!$O$3),"Yes","No")</f>
        <v>Yes</v>
      </c>
      <c r="AB1387">
        <v>2025</v>
      </c>
      <c r="AC1387">
        <v>18</v>
      </c>
      <c r="AD1387">
        <f ca="1">IF(ISERROR(VLOOKUP(Table1[[#This Row],[item]],INDIRECT("'"&amp;Table1[[#This Row],[sheet]]&amp;"'!$A$8:$T$42"),Table1[[#This Row],[r]],FALSE)),"",VLOOKUP(Table1[[#This Row],[item]],INDIRECT("'"&amp;Table1[[#This Row],[sheet]]&amp;"'!$A$8:$T$42"),Table1[[#This Row],[r]],FALSE))</f>
        <v>2116.4</v>
      </c>
      <c r="AE1387">
        <f>IF(VLOOKUP(Table1[[#This Row],[sheet]],Prg!$A$7:$J$31,10,FALSE)="","",VLOOKUP(Table1[[#This Row],[sheet]],Prg!$A$7:$J$31,10,FALSE)*1)</f>
        <v>2</v>
      </c>
      <c r="AF1387" t="str">
        <f>VLOOKUP(Table1[[#This Row],[sheet]],Prg!$A$7:$J$31,5,FALSE)</f>
        <v>R - ASIA - FAR EAST AREA</v>
      </c>
      <c r="AG1387">
        <f>ROW()</f>
        <v>1387</v>
      </c>
    </row>
    <row r="1388" spans="24:33" hidden="1" x14ac:dyDescent="0.25">
      <c r="X1388">
        <v>8</v>
      </c>
      <c r="Y1388" t="s">
        <v>753</v>
      </c>
      <c r="Z1388" t="s">
        <v>162</v>
      </c>
      <c r="AA1388" t="str">
        <f>IF(OR(VLOOKUP(Table1[[#This Row],[sheet]],Prg!$A$7:$F$31,6,FALSE)=Prg!$O$2,VLOOKUP(Table1[[#This Row],[sheet]],Prg!$A$7:$F$31,6,FALSE)=Prg!$O$3),"Yes","No")</f>
        <v>Yes</v>
      </c>
      <c r="AB1388">
        <v>2026</v>
      </c>
      <c r="AC1388">
        <v>19</v>
      </c>
      <c r="AD1388">
        <f ca="1">IF(ISERROR(VLOOKUP(Table1[[#This Row],[item]],INDIRECT("'"&amp;Table1[[#This Row],[sheet]]&amp;"'!$A$8:$T$42"),Table1[[#This Row],[r]],FALSE)),"",VLOOKUP(Table1[[#This Row],[item]],INDIRECT("'"&amp;Table1[[#This Row],[sheet]]&amp;"'!$A$8:$T$42"),Table1[[#This Row],[r]],FALSE))</f>
        <v>1558674.48</v>
      </c>
      <c r="AE1388">
        <f>IF(VLOOKUP(Table1[[#This Row],[sheet]],Prg!$A$7:$J$31,10,FALSE)="","",VLOOKUP(Table1[[#This Row],[sheet]],Prg!$A$7:$J$31,10,FALSE)*1)</f>
        <v>2</v>
      </c>
      <c r="AF1388" t="str">
        <f>VLOOKUP(Table1[[#This Row],[sheet]],Prg!$A$7:$J$31,5,FALSE)</f>
        <v>R - ASIA - FAR EAST AREA</v>
      </c>
      <c r="AG1388">
        <f>ROW()</f>
        <v>1388</v>
      </c>
    </row>
    <row r="1389" spans="24:33" hidden="1" x14ac:dyDescent="0.25">
      <c r="X1389">
        <v>8</v>
      </c>
      <c r="Y1389" t="s">
        <v>754</v>
      </c>
      <c r="Z1389" t="s">
        <v>164</v>
      </c>
      <c r="AA1389" t="str">
        <f>IF(OR(VLOOKUP(Table1[[#This Row],[sheet]],Prg!$A$7:$F$31,6,FALSE)=Prg!$O$2,VLOOKUP(Table1[[#This Row],[sheet]],Prg!$A$7:$F$31,6,FALSE)=Prg!$O$3),"Yes","No")</f>
        <v>Yes</v>
      </c>
      <c r="AB1389">
        <v>2026</v>
      </c>
      <c r="AC1389">
        <v>19</v>
      </c>
      <c r="AD1389">
        <f ca="1">IF(ISERROR(VLOOKUP(Table1[[#This Row],[item]],INDIRECT("'"&amp;Table1[[#This Row],[sheet]]&amp;"'!$A$8:$T$42"),Table1[[#This Row],[r]],FALSE)),"",VLOOKUP(Table1[[#This Row],[item]],INDIRECT("'"&amp;Table1[[#This Row],[sheet]]&amp;"'!$A$8:$T$42"),Table1[[#This Row],[r]],FALSE))</f>
        <v>0</v>
      </c>
      <c r="AE1389">
        <f>IF(VLOOKUP(Table1[[#This Row],[sheet]],Prg!$A$7:$J$31,10,FALSE)="","",VLOOKUP(Table1[[#This Row],[sheet]],Prg!$A$7:$J$31,10,FALSE)*1)</f>
        <v>2</v>
      </c>
      <c r="AF1389" t="str">
        <f>VLOOKUP(Table1[[#This Row],[sheet]],Prg!$A$7:$J$31,5,FALSE)</f>
        <v>R - ASIA - FAR EAST AREA</v>
      </c>
      <c r="AG1389">
        <f>ROW()</f>
        <v>1389</v>
      </c>
    </row>
    <row r="1390" spans="24:33" hidden="1" x14ac:dyDescent="0.25">
      <c r="X1390">
        <v>8</v>
      </c>
      <c r="Y1390" t="s">
        <v>755</v>
      </c>
      <c r="Z1390" t="s">
        <v>166</v>
      </c>
      <c r="AA1390" t="str">
        <f>IF(OR(VLOOKUP(Table1[[#This Row],[sheet]],Prg!$A$7:$F$31,6,FALSE)=Prg!$O$2,VLOOKUP(Table1[[#This Row],[sheet]],Prg!$A$7:$F$31,6,FALSE)=Prg!$O$3),"Yes","No")</f>
        <v>Yes</v>
      </c>
      <c r="AB1390">
        <v>2026</v>
      </c>
      <c r="AC1390">
        <v>19</v>
      </c>
      <c r="AD1390">
        <f ca="1">IF(ISERROR(VLOOKUP(Table1[[#This Row],[item]],INDIRECT("'"&amp;Table1[[#This Row],[sheet]]&amp;"'!$A$8:$T$42"),Table1[[#This Row],[r]],FALSE)),"",VLOOKUP(Table1[[#This Row],[item]],INDIRECT("'"&amp;Table1[[#This Row],[sheet]]&amp;"'!$A$8:$T$42"),Table1[[#This Row],[r]],FALSE))</f>
        <v>1189033</v>
      </c>
      <c r="AE1390">
        <f>IF(VLOOKUP(Table1[[#This Row],[sheet]],Prg!$A$7:$J$31,10,FALSE)="","",VLOOKUP(Table1[[#This Row],[sheet]],Prg!$A$7:$J$31,10,FALSE)*1)</f>
        <v>2</v>
      </c>
      <c r="AF1390" t="str">
        <f>VLOOKUP(Table1[[#This Row],[sheet]],Prg!$A$7:$J$31,5,FALSE)</f>
        <v>R - ASIA - FAR EAST AREA</v>
      </c>
      <c r="AG1390">
        <f>ROW()</f>
        <v>1390</v>
      </c>
    </row>
    <row r="1391" spans="24:33" hidden="1" x14ac:dyDescent="0.25">
      <c r="X1391">
        <v>8</v>
      </c>
      <c r="Y1391" t="s">
        <v>756</v>
      </c>
      <c r="Z1391" t="s">
        <v>757</v>
      </c>
      <c r="AA1391" t="str">
        <f>IF(OR(VLOOKUP(Table1[[#This Row],[sheet]],Prg!$A$7:$F$31,6,FALSE)=Prg!$O$2,VLOOKUP(Table1[[#This Row],[sheet]],Prg!$A$7:$F$31,6,FALSE)=Prg!$O$3),"Yes","No")</f>
        <v>Yes</v>
      </c>
      <c r="AB1391">
        <v>2026</v>
      </c>
      <c r="AC1391">
        <v>19</v>
      </c>
      <c r="AD1391">
        <f ca="1">IF(ISERROR(VLOOKUP(Table1[[#This Row],[item]],INDIRECT("'"&amp;Table1[[#This Row],[sheet]]&amp;"'!$A$8:$T$42"),Table1[[#This Row],[r]],FALSE)),"",VLOOKUP(Table1[[#This Row],[item]],INDIRECT("'"&amp;Table1[[#This Row],[sheet]]&amp;"'!$A$8:$T$42"),Table1[[#This Row],[r]],FALSE))</f>
        <v>369641.48</v>
      </c>
      <c r="AE1391">
        <f>IF(VLOOKUP(Table1[[#This Row],[sheet]],Prg!$A$7:$J$31,10,FALSE)="","",VLOOKUP(Table1[[#This Row],[sheet]],Prg!$A$7:$J$31,10,FALSE)*1)</f>
        <v>2</v>
      </c>
      <c r="AF1391" t="str">
        <f>VLOOKUP(Table1[[#This Row],[sheet]],Prg!$A$7:$J$31,5,FALSE)</f>
        <v>R - ASIA - FAR EAST AREA</v>
      </c>
      <c r="AG1391">
        <f>ROW()</f>
        <v>1391</v>
      </c>
    </row>
    <row r="1392" spans="24:33" hidden="1" x14ac:dyDescent="0.25">
      <c r="X1392">
        <v>8</v>
      </c>
      <c r="Y1392" t="s">
        <v>758</v>
      </c>
      <c r="Z1392" t="s">
        <v>170</v>
      </c>
      <c r="AA1392" t="str">
        <f>IF(OR(VLOOKUP(Table1[[#This Row],[sheet]],Prg!$A$7:$F$31,6,FALSE)=Prg!$O$2,VLOOKUP(Table1[[#This Row],[sheet]],Prg!$A$7:$F$31,6,FALSE)=Prg!$O$3),"Yes","No")</f>
        <v>Yes</v>
      </c>
      <c r="AB1392">
        <v>2026</v>
      </c>
      <c r="AC1392">
        <v>19</v>
      </c>
      <c r="AD1392">
        <f ca="1">IF(ISERROR(VLOOKUP(Table1[[#This Row],[item]],INDIRECT("'"&amp;Table1[[#This Row],[sheet]]&amp;"'!$A$8:$T$42"),Table1[[#This Row],[r]],FALSE)),"",VLOOKUP(Table1[[#This Row],[item]],INDIRECT("'"&amp;Table1[[#This Row],[sheet]]&amp;"'!$A$8:$T$42"),Table1[[#This Row],[r]],FALSE))</f>
        <v>136562.45000000001</v>
      </c>
      <c r="AE1392">
        <f>IF(VLOOKUP(Table1[[#This Row],[sheet]],Prg!$A$7:$J$31,10,FALSE)="","",VLOOKUP(Table1[[#This Row],[sheet]],Prg!$A$7:$J$31,10,FALSE)*1)</f>
        <v>2</v>
      </c>
      <c r="AF1392" t="str">
        <f>VLOOKUP(Table1[[#This Row],[sheet]],Prg!$A$7:$J$31,5,FALSE)</f>
        <v>R - ASIA - FAR EAST AREA</v>
      </c>
      <c r="AG1392">
        <f>ROW()</f>
        <v>1392</v>
      </c>
    </row>
    <row r="1393" spans="24:33" hidden="1" x14ac:dyDescent="0.25">
      <c r="X1393">
        <v>8</v>
      </c>
      <c r="Y1393" t="s">
        <v>759</v>
      </c>
      <c r="Z1393" t="s">
        <v>172</v>
      </c>
      <c r="AA1393" t="str">
        <f>IF(OR(VLOOKUP(Table1[[#This Row],[sheet]],Prg!$A$7:$F$31,6,FALSE)=Prg!$O$2,VLOOKUP(Table1[[#This Row],[sheet]],Prg!$A$7:$F$31,6,FALSE)=Prg!$O$3),"Yes","No")</f>
        <v>Yes</v>
      </c>
      <c r="AB1393">
        <v>2026</v>
      </c>
      <c r="AC1393">
        <v>19</v>
      </c>
      <c r="AD1393">
        <f ca="1">IF(ISERROR(VLOOKUP(Table1[[#This Row],[item]],INDIRECT("'"&amp;Table1[[#This Row],[sheet]]&amp;"'!$A$8:$T$42"),Table1[[#This Row],[r]],FALSE)),"",VLOOKUP(Table1[[#This Row],[item]],INDIRECT("'"&amp;Table1[[#This Row],[sheet]]&amp;"'!$A$8:$T$42"),Table1[[#This Row],[r]],FALSE))</f>
        <v>2000</v>
      </c>
      <c r="AE1393">
        <f>IF(VLOOKUP(Table1[[#This Row],[sheet]],Prg!$A$7:$J$31,10,FALSE)="","",VLOOKUP(Table1[[#This Row],[sheet]],Prg!$A$7:$J$31,10,FALSE)*1)</f>
        <v>2</v>
      </c>
      <c r="AF1393" t="str">
        <f>VLOOKUP(Table1[[#This Row],[sheet]],Prg!$A$7:$J$31,5,FALSE)</f>
        <v>R - ASIA - FAR EAST AREA</v>
      </c>
      <c r="AG1393">
        <f>ROW()</f>
        <v>1393</v>
      </c>
    </row>
    <row r="1394" spans="24:33" hidden="1" x14ac:dyDescent="0.25">
      <c r="X1394">
        <v>8</v>
      </c>
      <c r="Y1394" t="s">
        <v>760</v>
      </c>
      <c r="Z1394" t="s">
        <v>174</v>
      </c>
      <c r="AA1394" t="str">
        <f>IF(OR(VLOOKUP(Table1[[#This Row],[sheet]],Prg!$A$7:$F$31,6,FALSE)=Prg!$O$2,VLOOKUP(Table1[[#This Row],[sheet]],Prg!$A$7:$F$31,6,FALSE)=Prg!$O$3),"Yes","No")</f>
        <v>Yes</v>
      </c>
      <c r="AB1394">
        <v>2026</v>
      </c>
      <c r="AC1394">
        <v>19</v>
      </c>
      <c r="AD1394">
        <f ca="1">IF(ISERROR(VLOOKUP(Table1[[#This Row],[item]],INDIRECT("'"&amp;Table1[[#This Row],[sheet]]&amp;"'!$A$8:$T$42"),Table1[[#This Row],[r]],FALSE)),"",VLOOKUP(Table1[[#This Row],[item]],INDIRECT("'"&amp;Table1[[#This Row],[sheet]]&amp;"'!$A$8:$T$42"),Table1[[#This Row],[r]],FALSE))</f>
        <v>94162.45</v>
      </c>
      <c r="AE1394">
        <f>IF(VLOOKUP(Table1[[#This Row],[sheet]],Prg!$A$7:$J$31,10,FALSE)="","",VLOOKUP(Table1[[#This Row],[sheet]],Prg!$A$7:$J$31,10,FALSE)*1)</f>
        <v>2</v>
      </c>
      <c r="AF1394" t="str">
        <f>VLOOKUP(Table1[[#This Row],[sheet]],Prg!$A$7:$J$31,5,FALSE)</f>
        <v>R - ASIA - FAR EAST AREA</v>
      </c>
      <c r="AG1394">
        <f>ROW()</f>
        <v>1394</v>
      </c>
    </row>
    <row r="1395" spans="24:33" hidden="1" x14ac:dyDescent="0.25">
      <c r="X1395">
        <v>8</v>
      </c>
      <c r="Y1395" t="s">
        <v>761</v>
      </c>
      <c r="Z1395" t="s">
        <v>762</v>
      </c>
      <c r="AA1395" t="str">
        <f>IF(OR(VLOOKUP(Table1[[#This Row],[sheet]],Prg!$A$7:$F$31,6,FALSE)=Prg!$O$2,VLOOKUP(Table1[[#This Row],[sheet]],Prg!$A$7:$F$31,6,FALSE)=Prg!$O$3),"Yes","No")</f>
        <v>Yes</v>
      </c>
      <c r="AB1395">
        <v>2026</v>
      </c>
      <c r="AC1395">
        <v>19</v>
      </c>
      <c r="AD1395">
        <f ca="1">IF(ISERROR(VLOOKUP(Table1[[#This Row],[item]],INDIRECT("'"&amp;Table1[[#This Row],[sheet]]&amp;"'!$A$8:$T$42"),Table1[[#This Row],[r]],FALSE)),"",VLOOKUP(Table1[[#This Row],[item]],INDIRECT("'"&amp;Table1[[#This Row],[sheet]]&amp;"'!$A$8:$T$42"),Table1[[#This Row],[r]],FALSE))</f>
        <v>40400</v>
      </c>
      <c r="AE1395">
        <f>IF(VLOOKUP(Table1[[#This Row],[sheet]],Prg!$A$7:$J$31,10,FALSE)="","",VLOOKUP(Table1[[#This Row],[sheet]],Prg!$A$7:$J$31,10,FALSE)*1)</f>
        <v>2</v>
      </c>
      <c r="AF1395" t="str">
        <f>VLOOKUP(Table1[[#This Row],[sheet]],Prg!$A$7:$J$31,5,FALSE)</f>
        <v>R - ASIA - FAR EAST AREA</v>
      </c>
      <c r="AG1395">
        <f>ROW()</f>
        <v>1395</v>
      </c>
    </row>
    <row r="1396" spans="24:33" hidden="1" x14ac:dyDescent="0.25">
      <c r="X1396">
        <v>8</v>
      </c>
      <c r="Y1396" t="s">
        <v>763</v>
      </c>
      <c r="Z1396" t="s">
        <v>178</v>
      </c>
      <c r="AA1396" t="str">
        <f>IF(OR(VLOOKUP(Table1[[#This Row],[sheet]],Prg!$A$7:$F$31,6,FALSE)=Prg!$O$2,VLOOKUP(Table1[[#This Row],[sheet]],Prg!$A$7:$F$31,6,FALSE)=Prg!$O$3),"Yes","No")</f>
        <v>Yes</v>
      </c>
      <c r="AB1396">
        <v>2026</v>
      </c>
      <c r="AC1396">
        <v>19</v>
      </c>
      <c r="AD1396">
        <f ca="1">IF(ISERROR(VLOOKUP(Table1[[#This Row],[item]],INDIRECT("'"&amp;Table1[[#This Row],[sheet]]&amp;"'!$A$8:$T$42"),Table1[[#This Row],[r]],FALSE)),"",VLOOKUP(Table1[[#This Row],[item]],INDIRECT("'"&amp;Table1[[#This Row],[sheet]]&amp;"'!$A$8:$T$42"),Table1[[#This Row],[r]],FALSE))</f>
        <v>761055.86999999988</v>
      </c>
      <c r="AE1396">
        <f>IF(VLOOKUP(Table1[[#This Row],[sheet]],Prg!$A$7:$J$31,10,FALSE)="","",VLOOKUP(Table1[[#This Row],[sheet]],Prg!$A$7:$J$31,10,FALSE)*1)</f>
        <v>2</v>
      </c>
      <c r="AF1396" t="str">
        <f>VLOOKUP(Table1[[#This Row],[sheet]],Prg!$A$7:$J$31,5,FALSE)</f>
        <v>R - ASIA - FAR EAST AREA</v>
      </c>
      <c r="AG1396">
        <f>ROW()</f>
        <v>1396</v>
      </c>
    </row>
    <row r="1397" spans="24:33" hidden="1" x14ac:dyDescent="0.25">
      <c r="X1397">
        <v>8</v>
      </c>
      <c r="Y1397" t="s">
        <v>764</v>
      </c>
      <c r="Z1397" t="s">
        <v>109</v>
      </c>
      <c r="AA1397" t="str">
        <f>IF(OR(VLOOKUP(Table1[[#This Row],[sheet]],Prg!$A$7:$F$31,6,FALSE)=Prg!$O$2,VLOOKUP(Table1[[#This Row],[sheet]],Prg!$A$7:$F$31,6,FALSE)=Prg!$O$3),"Yes","No")</f>
        <v>Yes</v>
      </c>
      <c r="AB1397">
        <v>2026</v>
      </c>
      <c r="AC1397">
        <v>19</v>
      </c>
      <c r="AD1397">
        <f ca="1">IF(ISERROR(VLOOKUP(Table1[[#This Row],[item]],INDIRECT("'"&amp;Table1[[#This Row],[sheet]]&amp;"'!$A$8:$T$42"),Table1[[#This Row],[r]],FALSE)),"",VLOOKUP(Table1[[#This Row],[item]],INDIRECT("'"&amp;Table1[[#This Row],[sheet]]&amp;"'!$A$8:$T$42"),Table1[[#This Row],[r]],FALSE))</f>
        <v>1000</v>
      </c>
      <c r="AE1397">
        <f>IF(VLOOKUP(Table1[[#This Row],[sheet]],Prg!$A$7:$J$31,10,FALSE)="","",VLOOKUP(Table1[[#This Row],[sheet]],Prg!$A$7:$J$31,10,FALSE)*1)</f>
        <v>2</v>
      </c>
      <c r="AF1397" t="str">
        <f>VLOOKUP(Table1[[#This Row],[sheet]],Prg!$A$7:$J$31,5,FALSE)</f>
        <v>R - ASIA - FAR EAST AREA</v>
      </c>
      <c r="AG1397">
        <f>ROW()</f>
        <v>1397</v>
      </c>
    </row>
    <row r="1398" spans="24:33" hidden="1" x14ac:dyDescent="0.25">
      <c r="X1398">
        <v>8</v>
      </c>
      <c r="Y1398" t="s">
        <v>765</v>
      </c>
      <c r="Z1398" t="s">
        <v>117</v>
      </c>
      <c r="AA1398" t="str">
        <f>IF(OR(VLOOKUP(Table1[[#This Row],[sheet]],Prg!$A$7:$F$31,6,FALSE)=Prg!$O$2,VLOOKUP(Table1[[#This Row],[sheet]],Prg!$A$7:$F$31,6,FALSE)=Prg!$O$3),"Yes","No")</f>
        <v>Yes</v>
      </c>
      <c r="AB1398">
        <v>2026</v>
      </c>
      <c r="AC1398">
        <v>19</v>
      </c>
      <c r="AD1398">
        <f ca="1">IF(ISERROR(VLOOKUP(Table1[[#This Row],[item]],INDIRECT("'"&amp;Table1[[#This Row],[sheet]]&amp;"'!$A$8:$T$42"),Table1[[#This Row],[r]],FALSE)),"",VLOOKUP(Table1[[#This Row],[item]],INDIRECT("'"&amp;Table1[[#This Row],[sheet]]&amp;"'!$A$8:$T$42"),Table1[[#This Row],[r]],FALSE))</f>
        <v>155054.43</v>
      </c>
      <c r="AE1398">
        <f>IF(VLOOKUP(Table1[[#This Row],[sheet]],Prg!$A$7:$J$31,10,FALSE)="","",VLOOKUP(Table1[[#This Row],[sheet]],Prg!$A$7:$J$31,10,FALSE)*1)</f>
        <v>2</v>
      </c>
      <c r="AF1398" t="str">
        <f>VLOOKUP(Table1[[#This Row],[sheet]],Prg!$A$7:$J$31,5,FALSE)</f>
        <v>R - ASIA - FAR EAST AREA</v>
      </c>
      <c r="AG1398">
        <f>ROW()</f>
        <v>1398</v>
      </c>
    </row>
    <row r="1399" spans="24:33" hidden="1" x14ac:dyDescent="0.25">
      <c r="X1399">
        <v>8</v>
      </c>
      <c r="Y1399" t="s">
        <v>766</v>
      </c>
      <c r="Z1399" t="s">
        <v>767</v>
      </c>
      <c r="AA1399" t="str">
        <f>IF(OR(VLOOKUP(Table1[[#This Row],[sheet]],Prg!$A$7:$F$31,6,FALSE)=Prg!$O$2,VLOOKUP(Table1[[#This Row],[sheet]],Prg!$A$7:$F$31,6,FALSE)=Prg!$O$3),"Yes","No")</f>
        <v>Yes</v>
      </c>
      <c r="AB1399">
        <v>2026</v>
      </c>
      <c r="AC1399">
        <v>19</v>
      </c>
      <c r="AD1399">
        <f ca="1">IF(ISERROR(VLOOKUP(Table1[[#This Row],[item]],INDIRECT("'"&amp;Table1[[#This Row],[sheet]]&amp;"'!$A$8:$T$42"),Table1[[#This Row],[r]],FALSE)),"",VLOOKUP(Table1[[#This Row],[item]],INDIRECT("'"&amp;Table1[[#This Row],[sheet]]&amp;"'!$A$8:$T$42"),Table1[[#This Row],[r]],FALSE))</f>
        <v>605001.43999999994</v>
      </c>
      <c r="AE1399">
        <f>IF(VLOOKUP(Table1[[#This Row],[sheet]],Prg!$A$7:$J$31,10,FALSE)="","",VLOOKUP(Table1[[#This Row],[sheet]],Prg!$A$7:$J$31,10,FALSE)*1)</f>
        <v>2</v>
      </c>
      <c r="AF1399" t="str">
        <f>VLOOKUP(Table1[[#This Row],[sheet]],Prg!$A$7:$J$31,5,FALSE)</f>
        <v>R - ASIA - FAR EAST AREA</v>
      </c>
      <c r="AG1399">
        <f>ROW()</f>
        <v>1399</v>
      </c>
    </row>
    <row r="1400" spans="24:33" hidden="1" x14ac:dyDescent="0.25">
      <c r="X1400">
        <v>8</v>
      </c>
      <c r="Y1400" t="s">
        <v>768</v>
      </c>
      <c r="Z1400" t="s">
        <v>182</v>
      </c>
      <c r="AA1400" t="str">
        <f>IF(OR(VLOOKUP(Table1[[#This Row],[sheet]],Prg!$A$7:$F$31,6,FALSE)=Prg!$O$2,VLOOKUP(Table1[[#This Row],[sheet]],Prg!$A$7:$F$31,6,FALSE)=Prg!$O$3),"Yes","No")</f>
        <v>Yes</v>
      </c>
      <c r="AB1400">
        <v>2026</v>
      </c>
      <c r="AC1400">
        <v>19</v>
      </c>
      <c r="AD1400">
        <f ca="1">IF(ISERROR(VLOOKUP(Table1[[#This Row],[item]],INDIRECT("'"&amp;Table1[[#This Row],[sheet]]&amp;"'!$A$8:$T$42"),Table1[[#This Row],[r]],FALSE)),"",VLOOKUP(Table1[[#This Row],[item]],INDIRECT("'"&amp;Table1[[#This Row],[sheet]]&amp;"'!$A$8:$T$42"),Table1[[#This Row],[r]],FALSE))</f>
        <v>12000</v>
      </c>
      <c r="AE1400">
        <f>IF(VLOOKUP(Table1[[#This Row],[sheet]],Prg!$A$7:$J$31,10,FALSE)="","",VLOOKUP(Table1[[#This Row],[sheet]],Prg!$A$7:$J$31,10,FALSE)*1)</f>
        <v>2</v>
      </c>
      <c r="AF1400" t="str">
        <f>VLOOKUP(Table1[[#This Row],[sheet]],Prg!$A$7:$J$31,5,FALSE)</f>
        <v>R - ASIA - FAR EAST AREA</v>
      </c>
      <c r="AG1400">
        <f>ROW()</f>
        <v>1400</v>
      </c>
    </row>
    <row r="1401" spans="24:33" hidden="1" x14ac:dyDescent="0.25">
      <c r="X1401">
        <v>8</v>
      </c>
      <c r="Y1401" t="s">
        <v>769</v>
      </c>
      <c r="Z1401" t="s">
        <v>184</v>
      </c>
      <c r="AA1401" t="str">
        <f>IF(OR(VLOOKUP(Table1[[#This Row],[sheet]],Prg!$A$7:$F$31,6,FALSE)=Prg!$O$2,VLOOKUP(Table1[[#This Row],[sheet]],Prg!$A$7:$F$31,6,FALSE)=Prg!$O$3),"Yes","No")</f>
        <v>Yes</v>
      </c>
      <c r="AB1401">
        <v>2026</v>
      </c>
      <c r="AC1401">
        <v>19</v>
      </c>
      <c r="AD1401">
        <f ca="1">IF(ISERROR(VLOOKUP(Table1[[#This Row],[item]],INDIRECT("'"&amp;Table1[[#This Row],[sheet]]&amp;"'!$A$8:$T$42"),Table1[[#This Row],[r]],FALSE)),"",VLOOKUP(Table1[[#This Row],[item]],INDIRECT("'"&amp;Table1[[#This Row],[sheet]]&amp;"'!$A$8:$T$42"),Table1[[#This Row],[r]],FALSE))</f>
        <v>0</v>
      </c>
      <c r="AE1401">
        <f>IF(VLOOKUP(Table1[[#This Row],[sheet]],Prg!$A$7:$J$31,10,FALSE)="","",VLOOKUP(Table1[[#This Row],[sheet]],Prg!$A$7:$J$31,10,FALSE)*1)</f>
        <v>2</v>
      </c>
      <c r="AF1401" t="str">
        <f>VLOOKUP(Table1[[#This Row],[sheet]],Prg!$A$7:$J$31,5,FALSE)</f>
        <v>R - ASIA - FAR EAST AREA</v>
      </c>
      <c r="AG1401">
        <f>ROW()</f>
        <v>1401</v>
      </c>
    </row>
    <row r="1402" spans="24:33" hidden="1" x14ac:dyDescent="0.25">
      <c r="X1402">
        <v>8</v>
      </c>
      <c r="Y1402" t="s">
        <v>770</v>
      </c>
      <c r="Z1402" t="s">
        <v>186</v>
      </c>
      <c r="AA1402" t="str">
        <f>IF(OR(VLOOKUP(Table1[[#This Row],[sheet]],Prg!$A$7:$F$31,6,FALSE)=Prg!$O$2,VLOOKUP(Table1[[#This Row],[sheet]],Prg!$A$7:$F$31,6,FALSE)=Prg!$O$3),"Yes","No")</f>
        <v>Yes</v>
      </c>
      <c r="AB1402">
        <v>2026</v>
      </c>
      <c r="AC1402">
        <v>19</v>
      </c>
      <c r="AD1402">
        <f ca="1">IF(ISERROR(VLOOKUP(Table1[[#This Row],[item]],INDIRECT("'"&amp;Table1[[#This Row],[sheet]]&amp;"'!$A$8:$T$42"),Table1[[#This Row],[r]],FALSE)),"",VLOOKUP(Table1[[#This Row],[item]],INDIRECT("'"&amp;Table1[[#This Row],[sheet]]&amp;"'!$A$8:$T$42"),Table1[[#This Row],[r]],FALSE))</f>
        <v>12000</v>
      </c>
      <c r="AE1402">
        <f>IF(VLOOKUP(Table1[[#This Row],[sheet]],Prg!$A$7:$J$31,10,FALSE)="","",VLOOKUP(Table1[[#This Row],[sheet]],Prg!$A$7:$J$31,10,FALSE)*1)</f>
        <v>2</v>
      </c>
      <c r="AF1402" t="str">
        <f>VLOOKUP(Table1[[#This Row],[sheet]],Prg!$A$7:$J$31,5,FALSE)</f>
        <v>R - ASIA - FAR EAST AREA</v>
      </c>
      <c r="AG1402">
        <f>ROW()</f>
        <v>1402</v>
      </c>
    </row>
    <row r="1403" spans="24:33" hidden="1" x14ac:dyDescent="0.25">
      <c r="X1403">
        <v>8</v>
      </c>
      <c r="Y1403" t="s">
        <v>771</v>
      </c>
      <c r="Z1403" t="s">
        <v>772</v>
      </c>
      <c r="AA1403" t="str">
        <f>IF(OR(VLOOKUP(Table1[[#This Row],[sheet]],Prg!$A$7:$F$31,6,FALSE)=Prg!$O$2,VLOOKUP(Table1[[#This Row],[sheet]],Prg!$A$7:$F$31,6,FALSE)=Prg!$O$3),"Yes","No")</f>
        <v>Yes</v>
      </c>
      <c r="AB1403">
        <v>2026</v>
      </c>
      <c r="AC1403">
        <v>19</v>
      </c>
      <c r="AD1403">
        <f ca="1">IF(ISERROR(VLOOKUP(Table1[[#This Row],[item]],INDIRECT("'"&amp;Table1[[#This Row],[sheet]]&amp;"'!$A$8:$T$42"),Table1[[#This Row],[r]],FALSE)),"",VLOOKUP(Table1[[#This Row],[item]],INDIRECT("'"&amp;Table1[[#This Row],[sheet]]&amp;"'!$A$8:$T$42"),Table1[[#This Row],[r]],FALSE))</f>
        <v>0</v>
      </c>
      <c r="AE1403">
        <f>IF(VLOOKUP(Table1[[#This Row],[sheet]],Prg!$A$7:$J$31,10,FALSE)="","",VLOOKUP(Table1[[#This Row],[sheet]],Prg!$A$7:$J$31,10,FALSE)*1)</f>
        <v>2</v>
      </c>
      <c r="AF1403" t="str">
        <f>VLOOKUP(Table1[[#This Row],[sheet]],Prg!$A$7:$J$31,5,FALSE)</f>
        <v>R - ASIA - FAR EAST AREA</v>
      </c>
      <c r="AG1403">
        <f>ROW()</f>
        <v>1403</v>
      </c>
    </row>
    <row r="1404" spans="24:33" hidden="1" x14ac:dyDescent="0.25">
      <c r="X1404">
        <v>8</v>
      </c>
      <c r="Y1404" t="s">
        <v>773</v>
      </c>
      <c r="Z1404" t="s">
        <v>190</v>
      </c>
      <c r="AA1404" t="str">
        <f>IF(OR(VLOOKUP(Table1[[#This Row],[sheet]],Prg!$A$7:$F$31,6,FALSE)=Prg!$O$2,VLOOKUP(Table1[[#This Row],[sheet]],Prg!$A$7:$F$31,6,FALSE)=Prg!$O$3),"Yes","No")</f>
        <v>Yes</v>
      </c>
      <c r="AB1404">
        <v>2026</v>
      </c>
      <c r="AC1404">
        <v>19</v>
      </c>
      <c r="AD1404">
        <f ca="1">IF(ISERROR(VLOOKUP(Table1[[#This Row],[item]],INDIRECT("'"&amp;Table1[[#This Row],[sheet]]&amp;"'!$A$8:$T$42"),Table1[[#This Row],[r]],FALSE)),"",VLOOKUP(Table1[[#This Row],[item]],INDIRECT("'"&amp;Table1[[#This Row],[sheet]]&amp;"'!$A$8:$T$42"),Table1[[#This Row],[r]],FALSE))</f>
        <v>2468292.7999999998</v>
      </c>
      <c r="AE1404">
        <f>IF(VLOOKUP(Table1[[#This Row],[sheet]],Prg!$A$7:$J$31,10,FALSE)="","",VLOOKUP(Table1[[#This Row],[sheet]],Prg!$A$7:$J$31,10,FALSE)*1)</f>
        <v>2</v>
      </c>
      <c r="AF1404" t="str">
        <f>VLOOKUP(Table1[[#This Row],[sheet]],Prg!$A$7:$J$31,5,FALSE)</f>
        <v>R - ASIA - FAR EAST AREA</v>
      </c>
      <c r="AG1404">
        <f>ROW()</f>
        <v>1404</v>
      </c>
    </row>
    <row r="1405" spans="24:33" hidden="1" x14ac:dyDescent="0.25">
      <c r="X1405">
        <v>8</v>
      </c>
      <c r="Y1405" t="s">
        <v>709</v>
      </c>
      <c r="Z1405" t="s">
        <v>192</v>
      </c>
      <c r="AA1405" t="str">
        <f>IF(OR(VLOOKUP(Table1[[#This Row],[sheet]],Prg!$A$7:$F$31,6,FALSE)=Prg!$O$2,VLOOKUP(Table1[[#This Row],[sheet]],Prg!$A$7:$F$31,6,FALSE)=Prg!$O$3),"Yes","No")</f>
        <v>Yes</v>
      </c>
      <c r="AB1405">
        <v>2026</v>
      </c>
      <c r="AC1405">
        <v>19</v>
      </c>
      <c r="AD1405">
        <f ca="1">IF(ISERROR(VLOOKUP(Table1[[#This Row],[item]],INDIRECT("'"&amp;Table1[[#This Row],[sheet]]&amp;"'!$A$8:$T$42"),Table1[[#This Row],[r]],FALSE)),"",VLOOKUP(Table1[[#This Row],[item]],INDIRECT("'"&amp;Table1[[#This Row],[sheet]]&amp;"'!$A$8:$T$42"),Table1[[#This Row],[r]],FALSE))</f>
        <v>3000</v>
      </c>
      <c r="AE1405">
        <f>IF(VLOOKUP(Table1[[#This Row],[sheet]],Prg!$A$7:$J$31,10,FALSE)="","",VLOOKUP(Table1[[#This Row],[sheet]],Prg!$A$7:$J$31,10,FALSE)*1)</f>
        <v>2</v>
      </c>
      <c r="AF1405" t="str">
        <f>VLOOKUP(Table1[[#This Row],[sheet]],Prg!$A$7:$J$31,5,FALSE)</f>
        <v>R - ASIA - FAR EAST AREA</v>
      </c>
      <c r="AG1405">
        <f>ROW()</f>
        <v>1405</v>
      </c>
    </row>
    <row r="1406" spans="24:33" hidden="1" x14ac:dyDescent="0.25">
      <c r="X1406">
        <v>8</v>
      </c>
      <c r="Y1406" t="s">
        <v>774</v>
      </c>
      <c r="Z1406" t="s">
        <v>194</v>
      </c>
      <c r="AA1406" t="str">
        <f>IF(OR(VLOOKUP(Table1[[#This Row],[sheet]],Prg!$A$7:$F$31,6,FALSE)=Prg!$O$2,VLOOKUP(Table1[[#This Row],[sheet]],Prg!$A$7:$F$31,6,FALSE)=Prg!$O$3),"Yes","No")</f>
        <v>Yes</v>
      </c>
      <c r="AB1406">
        <v>2026</v>
      </c>
      <c r="AC1406">
        <v>19</v>
      </c>
      <c r="AD1406">
        <f ca="1">IF(ISERROR(VLOOKUP(Table1[[#This Row],[item]],INDIRECT("'"&amp;Table1[[#This Row],[sheet]]&amp;"'!$A$8:$T$42"),Table1[[#This Row],[r]],FALSE)),"",VLOOKUP(Table1[[#This Row],[item]],INDIRECT("'"&amp;Table1[[#This Row],[sheet]]&amp;"'!$A$8:$T$42"),Table1[[#This Row],[r]],FALSE))</f>
        <v>0</v>
      </c>
      <c r="AE1406">
        <f>IF(VLOOKUP(Table1[[#This Row],[sheet]],Prg!$A$7:$J$31,10,FALSE)="","",VLOOKUP(Table1[[#This Row],[sheet]],Prg!$A$7:$J$31,10,FALSE)*1)</f>
        <v>2</v>
      </c>
      <c r="AF1406" t="str">
        <f>VLOOKUP(Table1[[#This Row],[sheet]],Prg!$A$7:$J$31,5,FALSE)</f>
        <v>R - ASIA - FAR EAST AREA</v>
      </c>
      <c r="AG1406">
        <f>ROW()</f>
        <v>1406</v>
      </c>
    </row>
    <row r="1407" spans="24:33" hidden="1" x14ac:dyDescent="0.25">
      <c r="X1407">
        <v>8</v>
      </c>
      <c r="Y1407" t="s">
        <v>775</v>
      </c>
      <c r="Z1407" t="s">
        <v>196</v>
      </c>
      <c r="AA1407" t="str">
        <f>IF(OR(VLOOKUP(Table1[[#This Row],[sheet]],Prg!$A$7:$F$31,6,FALSE)=Prg!$O$2,VLOOKUP(Table1[[#This Row],[sheet]],Prg!$A$7:$F$31,6,FALSE)=Prg!$O$3),"Yes","No")</f>
        <v>Yes</v>
      </c>
      <c r="AB1407">
        <v>2026</v>
      </c>
      <c r="AC1407">
        <v>19</v>
      </c>
      <c r="AD1407">
        <f ca="1">IF(ISERROR(VLOOKUP(Table1[[#This Row],[item]],INDIRECT("'"&amp;Table1[[#This Row],[sheet]]&amp;"'!$A$8:$T$42"),Table1[[#This Row],[r]],FALSE)),"",VLOOKUP(Table1[[#This Row],[item]],INDIRECT("'"&amp;Table1[[#This Row],[sheet]]&amp;"'!$A$8:$T$42"),Table1[[#This Row],[r]],FALSE))</f>
        <v>3000</v>
      </c>
      <c r="AE1407">
        <f>IF(VLOOKUP(Table1[[#This Row],[sheet]],Prg!$A$7:$J$31,10,FALSE)="","",VLOOKUP(Table1[[#This Row],[sheet]],Prg!$A$7:$J$31,10,FALSE)*1)</f>
        <v>2</v>
      </c>
      <c r="AF1407" t="str">
        <f>VLOOKUP(Table1[[#This Row],[sheet]],Prg!$A$7:$J$31,5,FALSE)</f>
        <v>R - ASIA - FAR EAST AREA</v>
      </c>
      <c r="AG1407">
        <f>ROW()</f>
        <v>1407</v>
      </c>
    </row>
    <row r="1408" spans="24:33" hidden="1" x14ac:dyDescent="0.25">
      <c r="X1408">
        <v>8</v>
      </c>
      <c r="Y1408" t="s">
        <v>776</v>
      </c>
      <c r="Z1408" t="s">
        <v>605</v>
      </c>
      <c r="AA1408" t="str">
        <f>IF(OR(VLOOKUP(Table1[[#This Row],[sheet]],Prg!$A$7:$F$31,6,FALSE)=Prg!$O$2,VLOOKUP(Table1[[#This Row],[sheet]],Prg!$A$7:$F$31,6,FALSE)=Prg!$O$3),"Yes","No")</f>
        <v>Yes</v>
      </c>
      <c r="AB1408">
        <v>2026</v>
      </c>
      <c r="AC1408">
        <v>19</v>
      </c>
      <c r="AD1408">
        <f ca="1">IF(ISERROR(VLOOKUP(Table1[[#This Row],[item]],INDIRECT("'"&amp;Table1[[#This Row],[sheet]]&amp;"'!$A$8:$T$42"),Table1[[#This Row],[r]],FALSE)),"",VLOOKUP(Table1[[#This Row],[item]],INDIRECT("'"&amp;Table1[[#This Row],[sheet]]&amp;"'!$A$8:$T$42"),Table1[[#This Row],[r]],FALSE))</f>
        <v>0</v>
      </c>
      <c r="AE1408">
        <f>IF(VLOOKUP(Table1[[#This Row],[sheet]],Prg!$A$7:$J$31,10,FALSE)="","",VLOOKUP(Table1[[#This Row],[sheet]],Prg!$A$7:$J$31,10,FALSE)*1)</f>
        <v>2</v>
      </c>
      <c r="AF1408" t="str">
        <f>VLOOKUP(Table1[[#This Row],[sheet]],Prg!$A$7:$J$31,5,FALSE)</f>
        <v>R - ASIA - FAR EAST AREA</v>
      </c>
      <c r="AG1408">
        <f>ROW()</f>
        <v>1408</v>
      </c>
    </row>
    <row r="1409" spans="24:33" hidden="1" x14ac:dyDescent="0.25">
      <c r="X1409">
        <v>8</v>
      </c>
      <c r="Y1409" t="s">
        <v>711</v>
      </c>
      <c r="Z1409" t="s">
        <v>200</v>
      </c>
      <c r="AA1409" t="str">
        <f>IF(OR(VLOOKUP(Table1[[#This Row],[sheet]],Prg!$A$7:$F$31,6,FALSE)=Prg!$O$2,VLOOKUP(Table1[[#This Row],[sheet]],Prg!$A$7:$F$31,6,FALSE)=Prg!$O$3),"Yes","No")</f>
        <v>Yes</v>
      </c>
      <c r="AB1409">
        <v>2026</v>
      </c>
      <c r="AC1409">
        <v>19</v>
      </c>
      <c r="AD1409">
        <f ca="1">IF(ISERROR(VLOOKUP(Table1[[#This Row],[item]],INDIRECT("'"&amp;Table1[[#This Row],[sheet]]&amp;"'!$A$8:$T$42"),Table1[[#This Row],[r]],FALSE)),"",VLOOKUP(Table1[[#This Row],[item]],INDIRECT("'"&amp;Table1[[#This Row],[sheet]]&amp;"'!$A$8:$T$42"),Table1[[#This Row],[r]],FALSE))</f>
        <v>1450249.88</v>
      </c>
      <c r="AE1409">
        <f>IF(VLOOKUP(Table1[[#This Row],[sheet]],Prg!$A$7:$J$31,10,FALSE)="","",VLOOKUP(Table1[[#This Row],[sheet]],Prg!$A$7:$J$31,10,FALSE)*1)</f>
        <v>2</v>
      </c>
      <c r="AF1409" t="str">
        <f>VLOOKUP(Table1[[#This Row],[sheet]],Prg!$A$7:$J$31,5,FALSE)</f>
        <v>R - ASIA - FAR EAST AREA</v>
      </c>
      <c r="AG1409">
        <f>ROW()</f>
        <v>1409</v>
      </c>
    </row>
    <row r="1410" spans="24:33" hidden="1" x14ac:dyDescent="0.25">
      <c r="X1410">
        <v>8</v>
      </c>
      <c r="Y1410" t="s">
        <v>777</v>
      </c>
      <c r="Z1410" t="s">
        <v>202</v>
      </c>
      <c r="AA1410" t="str">
        <f>IF(OR(VLOOKUP(Table1[[#This Row],[sheet]],Prg!$A$7:$F$31,6,FALSE)=Prg!$O$2,VLOOKUP(Table1[[#This Row],[sheet]],Prg!$A$7:$F$31,6,FALSE)=Prg!$O$3),"Yes","No")</f>
        <v>Yes</v>
      </c>
      <c r="AB1410">
        <v>2026</v>
      </c>
      <c r="AC1410">
        <v>19</v>
      </c>
      <c r="AD1410">
        <f ca="1">IF(ISERROR(VLOOKUP(Table1[[#This Row],[item]],INDIRECT("'"&amp;Table1[[#This Row],[sheet]]&amp;"'!$A$8:$T$42"),Table1[[#This Row],[r]],FALSE)),"",VLOOKUP(Table1[[#This Row],[item]],INDIRECT("'"&amp;Table1[[#This Row],[sheet]]&amp;"'!$A$8:$T$42"),Table1[[#This Row],[r]],FALSE))</f>
        <v>37080</v>
      </c>
      <c r="AE1410">
        <f>IF(VLOOKUP(Table1[[#This Row],[sheet]],Prg!$A$7:$J$31,10,FALSE)="","",VLOOKUP(Table1[[#This Row],[sheet]],Prg!$A$7:$J$31,10,FALSE)*1)</f>
        <v>2</v>
      </c>
      <c r="AF1410" t="str">
        <f>VLOOKUP(Table1[[#This Row],[sheet]],Prg!$A$7:$J$31,5,FALSE)</f>
        <v>R - ASIA - FAR EAST AREA</v>
      </c>
      <c r="AG1410">
        <f>ROW()</f>
        <v>1410</v>
      </c>
    </row>
    <row r="1411" spans="24:33" hidden="1" x14ac:dyDescent="0.25">
      <c r="X1411">
        <v>8</v>
      </c>
      <c r="Y1411" t="s">
        <v>778</v>
      </c>
      <c r="Z1411" t="s">
        <v>204</v>
      </c>
      <c r="AA1411" t="str">
        <f>IF(OR(VLOOKUP(Table1[[#This Row],[sheet]],Prg!$A$7:$F$31,6,FALSE)=Prg!$O$2,VLOOKUP(Table1[[#This Row],[sheet]],Prg!$A$7:$F$31,6,FALSE)=Prg!$O$3),"Yes","No")</f>
        <v>Yes</v>
      </c>
      <c r="AB1411">
        <v>2026</v>
      </c>
      <c r="AC1411">
        <v>19</v>
      </c>
      <c r="AD1411">
        <f ca="1">IF(ISERROR(VLOOKUP(Table1[[#This Row],[item]],INDIRECT("'"&amp;Table1[[#This Row],[sheet]]&amp;"'!$A$8:$T$42"),Table1[[#This Row],[r]],FALSE)),"",VLOOKUP(Table1[[#This Row],[item]],INDIRECT("'"&amp;Table1[[#This Row],[sheet]]&amp;"'!$A$8:$T$42"),Table1[[#This Row],[r]],FALSE))</f>
        <v>137510.93</v>
      </c>
      <c r="AE1411">
        <f>IF(VLOOKUP(Table1[[#This Row],[sheet]],Prg!$A$7:$J$31,10,FALSE)="","",VLOOKUP(Table1[[#This Row],[sheet]],Prg!$A$7:$J$31,10,FALSE)*1)</f>
        <v>2</v>
      </c>
      <c r="AF1411" t="str">
        <f>VLOOKUP(Table1[[#This Row],[sheet]],Prg!$A$7:$J$31,5,FALSE)</f>
        <v>R - ASIA - FAR EAST AREA</v>
      </c>
      <c r="AG1411">
        <f>ROW()</f>
        <v>1411</v>
      </c>
    </row>
    <row r="1412" spans="24:33" hidden="1" x14ac:dyDescent="0.25">
      <c r="X1412">
        <v>8</v>
      </c>
      <c r="Y1412" t="s">
        <v>779</v>
      </c>
      <c r="Z1412" t="s">
        <v>605</v>
      </c>
      <c r="AA1412" t="str">
        <f>IF(OR(VLOOKUP(Table1[[#This Row],[sheet]],Prg!$A$7:$F$31,6,FALSE)=Prg!$O$2,VLOOKUP(Table1[[#This Row],[sheet]],Prg!$A$7:$F$31,6,FALSE)=Prg!$O$3),"Yes","No")</f>
        <v>Yes</v>
      </c>
      <c r="AB1412">
        <v>2026</v>
      </c>
      <c r="AC1412">
        <v>19</v>
      </c>
      <c r="AD1412">
        <f ca="1">IF(ISERROR(VLOOKUP(Table1[[#This Row],[item]],INDIRECT("'"&amp;Table1[[#This Row],[sheet]]&amp;"'!$A$8:$T$42"),Table1[[#This Row],[r]],FALSE)),"",VLOOKUP(Table1[[#This Row],[item]],INDIRECT("'"&amp;Table1[[#This Row],[sheet]]&amp;"'!$A$8:$T$42"),Table1[[#This Row],[r]],FALSE))</f>
        <v>1275658.95</v>
      </c>
      <c r="AE1412">
        <f>IF(VLOOKUP(Table1[[#This Row],[sheet]],Prg!$A$7:$J$31,10,FALSE)="","",VLOOKUP(Table1[[#This Row],[sheet]],Prg!$A$7:$J$31,10,FALSE)*1)</f>
        <v>2</v>
      </c>
      <c r="AF1412" t="str">
        <f>VLOOKUP(Table1[[#This Row],[sheet]],Prg!$A$7:$J$31,5,FALSE)</f>
        <v>R - ASIA - FAR EAST AREA</v>
      </c>
      <c r="AG1412">
        <f>ROW()</f>
        <v>1412</v>
      </c>
    </row>
    <row r="1413" spans="24:33" hidden="1" x14ac:dyDescent="0.25">
      <c r="X1413">
        <v>8</v>
      </c>
      <c r="Y1413" t="s">
        <v>712</v>
      </c>
      <c r="Z1413" t="s">
        <v>780</v>
      </c>
      <c r="AA1413" t="str">
        <f>IF(OR(VLOOKUP(Table1[[#This Row],[sheet]],Prg!$A$7:$F$31,6,FALSE)=Prg!$O$2,VLOOKUP(Table1[[#This Row],[sheet]],Prg!$A$7:$F$31,6,FALSE)=Prg!$O$3),"Yes","No")</f>
        <v>Yes</v>
      </c>
      <c r="AB1413">
        <v>2026</v>
      </c>
      <c r="AC1413">
        <v>19</v>
      </c>
      <c r="AD1413">
        <f ca="1">IF(ISERROR(VLOOKUP(Table1[[#This Row],[item]],INDIRECT("'"&amp;Table1[[#This Row],[sheet]]&amp;"'!$A$8:$T$42"),Table1[[#This Row],[r]],FALSE)),"",VLOOKUP(Table1[[#This Row],[item]],INDIRECT("'"&amp;Table1[[#This Row],[sheet]]&amp;"'!$A$8:$T$42"),Table1[[#This Row],[r]],FALSE))</f>
        <v>1015042.92</v>
      </c>
      <c r="AE1413">
        <f>IF(VLOOKUP(Table1[[#This Row],[sheet]],Prg!$A$7:$J$31,10,FALSE)="","",VLOOKUP(Table1[[#This Row],[sheet]],Prg!$A$7:$J$31,10,FALSE)*1)</f>
        <v>2</v>
      </c>
      <c r="AF1413" t="str">
        <f>VLOOKUP(Table1[[#This Row],[sheet]],Prg!$A$7:$J$31,5,FALSE)</f>
        <v>R - ASIA - FAR EAST AREA</v>
      </c>
      <c r="AG1413">
        <f>ROW()</f>
        <v>1413</v>
      </c>
    </row>
    <row r="1414" spans="24:33" hidden="1" x14ac:dyDescent="0.25">
      <c r="X1414">
        <v>8</v>
      </c>
      <c r="Y1414" t="s">
        <v>781</v>
      </c>
      <c r="Z1414" t="s">
        <v>782</v>
      </c>
      <c r="AA1414" t="str">
        <f>IF(OR(VLOOKUP(Table1[[#This Row],[sheet]],Prg!$A$7:$F$31,6,FALSE)=Prg!$O$2,VLOOKUP(Table1[[#This Row],[sheet]],Prg!$A$7:$F$31,6,FALSE)=Prg!$O$3),"Yes","No")</f>
        <v>Yes</v>
      </c>
      <c r="AB1414">
        <v>2026</v>
      </c>
      <c r="AC1414">
        <v>19</v>
      </c>
      <c r="AD1414">
        <f ca="1">IF(ISERROR(VLOOKUP(Table1[[#This Row],[item]],INDIRECT("'"&amp;Table1[[#This Row],[sheet]]&amp;"'!$A$8:$T$42"),Table1[[#This Row],[r]],FALSE)),"",VLOOKUP(Table1[[#This Row],[item]],INDIRECT("'"&amp;Table1[[#This Row],[sheet]]&amp;"'!$A$8:$T$42"),Table1[[#This Row],[r]],FALSE))</f>
        <v>0</v>
      </c>
      <c r="AE1414">
        <f>IF(VLOOKUP(Table1[[#This Row],[sheet]],Prg!$A$7:$J$31,10,FALSE)="","",VLOOKUP(Table1[[#This Row],[sheet]],Prg!$A$7:$J$31,10,FALSE)*1)</f>
        <v>2</v>
      </c>
      <c r="AF1414" t="str">
        <f>VLOOKUP(Table1[[#This Row],[sheet]],Prg!$A$7:$J$31,5,FALSE)</f>
        <v>R - ASIA - FAR EAST AREA</v>
      </c>
      <c r="AG1414">
        <f>ROW()</f>
        <v>1414</v>
      </c>
    </row>
    <row r="1415" spans="24:33" hidden="1" x14ac:dyDescent="0.25">
      <c r="X1415">
        <v>8</v>
      </c>
      <c r="Y1415" t="s">
        <v>783</v>
      </c>
      <c r="Z1415" t="s">
        <v>784</v>
      </c>
      <c r="AA1415" t="str">
        <f>IF(OR(VLOOKUP(Table1[[#This Row],[sheet]],Prg!$A$7:$F$31,6,FALSE)=Prg!$O$2,VLOOKUP(Table1[[#This Row],[sheet]],Prg!$A$7:$F$31,6,FALSE)=Prg!$O$3),"Yes","No")</f>
        <v>Yes</v>
      </c>
      <c r="AB1415">
        <v>2026</v>
      </c>
      <c r="AC1415">
        <v>19</v>
      </c>
      <c r="AD1415">
        <f ca="1">IF(ISERROR(VLOOKUP(Table1[[#This Row],[item]],INDIRECT("'"&amp;Table1[[#This Row],[sheet]]&amp;"'!$A$8:$T$42"),Table1[[#This Row],[r]],FALSE)),"",VLOOKUP(Table1[[#This Row],[item]],INDIRECT("'"&amp;Table1[[#This Row],[sheet]]&amp;"'!$A$8:$T$42"),Table1[[#This Row],[r]],FALSE))</f>
        <v>21340.61</v>
      </c>
      <c r="AE1415">
        <f>IF(VLOOKUP(Table1[[#This Row],[sheet]],Prg!$A$7:$J$31,10,FALSE)="","",VLOOKUP(Table1[[#This Row],[sheet]],Prg!$A$7:$J$31,10,FALSE)*1)</f>
        <v>2</v>
      </c>
      <c r="AF1415" t="str">
        <f>VLOOKUP(Table1[[#This Row],[sheet]],Prg!$A$7:$J$31,5,FALSE)</f>
        <v>R - ASIA - FAR EAST AREA</v>
      </c>
      <c r="AG1415">
        <f>ROW()</f>
        <v>1415</v>
      </c>
    </row>
    <row r="1416" spans="24:33" hidden="1" x14ac:dyDescent="0.25">
      <c r="X1416">
        <v>8</v>
      </c>
      <c r="Y1416" t="s">
        <v>785</v>
      </c>
      <c r="Z1416" t="s">
        <v>786</v>
      </c>
      <c r="AA1416" t="str">
        <f>IF(OR(VLOOKUP(Table1[[#This Row],[sheet]],Prg!$A$7:$F$31,6,FALSE)=Prg!$O$2,VLOOKUP(Table1[[#This Row],[sheet]],Prg!$A$7:$F$31,6,FALSE)=Prg!$O$3),"Yes","No")</f>
        <v>Yes</v>
      </c>
      <c r="AB1416">
        <v>2026</v>
      </c>
      <c r="AC1416">
        <v>19</v>
      </c>
      <c r="AD1416">
        <f ca="1">IF(ISERROR(VLOOKUP(Table1[[#This Row],[item]],INDIRECT("'"&amp;Table1[[#This Row],[sheet]]&amp;"'!$A$8:$T$42"),Table1[[#This Row],[r]],FALSE)),"",VLOOKUP(Table1[[#This Row],[item]],INDIRECT("'"&amp;Table1[[#This Row],[sheet]]&amp;"'!$A$8:$T$42"),Table1[[#This Row],[r]],FALSE))</f>
        <v>991585.91</v>
      </c>
      <c r="AE1416">
        <f>IF(VLOOKUP(Table1[[#This Row],[sheet]],Prg!$A$7:$J$31,10,FALSE)="","",VLOOKUP(Table1[[#This Row],[sheet]],Prg!$A$7:$J$31,10,FALSE)*1)</f>
        <v>2</v>
      </c>
      <c r="AF1416" t="str">
        <f>VLOOKUP(Table1[[#This Row],[sheet]],Prg!$A$7:$J$31,5,FALSE)</f>
        <v>R - ASIA - FAR EAST AREA</v>
      </c>
      <c r="AG1416">
        <f>ROW()</f>
        <v>1416</v>
      </c>
    </row>
    <row r="1417" spans="24:33" hidden="1" x14ac:dyDescent="0.25">
      <c r="X1417">
        <v>8</v>
      </c>
      <c r="Y1417" t="s">
        <v>787</v>
      </c>
      <c r="Z1417" t="s">
        <v>633</v>
      </c>
      <c r="AA1417" t="str">
        <f>IF(OR(VLOOKUP(Table1[[#This Row],[sheet]],Prg!$A$7:$F$31,6,FALSE)=Prg!$O$2,VLOOKUP(Table1[[#This Row],[sheet]],Prg!$A$7:$F$31,6,FALSE)=Prg!$O$3),"Yes","No")</f>
        <v>Yes</v>
      </c>
      <c r="AB1417">
        <v>2026</v>
      </c>
      <c r="AC1417">
        <v>19</v>
      </c>
      <c r="AD1417">
        <f ca="1">IF(ISERROR(VLOOKUP(Table1[[#This Row],[item]],INDIRECT("'"&amp;Table1[[#This Row],[sheet]]&amp;"'!$A$8:$T$42"),Table1[[#This Row],[r]],FALSE)),"",VLOOKUP(Table1[[#This Row],[item]],INDIRECT("'"&amp;Table1[[#This Row],[sheet]]&amp;"'!$A$8:$T$42"),Table1[[#This Row],[r]],FALSE))</f>
        <v>2116.4</v>
      </c>
      <c r="AE1417">
        <f>IF(VLOOKUP(Table1[[#This Row],[sheet]],Prg!$A$7:$J$31,10,FALSE)="","",VLOOKUP(Table1[[#This Row],[sheet]],Prg!$A$7:$J$31,10,FALSE)*1)</f>
        <v>2</v>
      </c>
      <c r="AF1417" t="str">
        <f>VLOOKUP(Table1[[#This Row],[sheet]],Prg!$A$7:$J$31,5,FALSE)</f>
        <v>R - ASIA - FAR EAST AREA</v>
      </c>
      <c r="AG1417">
        <f>ROW()</f>
        <v>1417</v>
      </c>
    </row>
    <row r="1418" spans="24:33" hidden="1" x14ac:dyDescent="0.25">
      <c r="X1418">
        <v>8</v>
      </c>
      <c r="Y1418" t="s">
        <v>753</v>
      </c>
      <c r="Z1418" t="s">
        <v>162</v>
      </c>
      <c r="AA1418" t="str">
        <f>IF(OR(VLOOKUP(Table1[[#This Row],[sheet]],Prg!$A$7:$F$31,6,FALSE)=Prg!$O$2,VLOOKUP(Table1[[#This Row],[sheet]],Prg!$A$7:$F$31,6,FALSE)=Prg!$O$3),"Yes","No")</f>
        <v>Yes</v>
      </c>
      <c r="AB1418" t="s">
        <v>78</v>
      </c>
      <c r="AC1418">
        <v>20</v>
      </c>
      <c r="AD1418">
        <f ca="1">IF(ISERROR(VLOOKUP(Table1[[#This Row],[item]],INDIRECT("'"&amp;Table1[[#This Row],[sheet]]&amp;"'!$A$8:$T$42"),Table1[[#This Row],[r]],FALSE)),"",VLOOKUP(Table1[[#This Row],[item]],INDIRECT("'"&amp;Table1[[#This Row],[sheet]]&amp;"'!$A$8:$T$42"),Table1[[#This Row],[r]],FALSE))</f>
        <v>7179818.8700000001</v>
      </c>
      <c r="AE1418">
        <f>IF(VLOOKUP(Table1[[#This Row],[sheet]],Prg!$A$7:$J$31,10,FALSE)="","",VLOOKUP(Table1[[#This Row],[sheet]],Prg!$A$7:$J$31,10,FALSE)*1)</f>
        <v>2</v>
      </c>
      <c r="AF1418" t="str">
        <f>VLOOKUP(Table1[[#This Row],[sheet]],Prg!$A$7:$J$31,5,FALSE)</f>
        <v>R - ASIA - FAR EAST AREA</v>
      </c>
      <c r="AG1418">
        <f>ROW()</f>
        <v>1418</v>
      </c>
    </row>
    <row r="1419" spans="24:33" hidden="1" x14ac:dyDescent="0.25">
      <c r="X1419">
        <v>8</v>
      </c>
      <c r="Y1419" t="s">
        <v>754</v>
      </c>
      <c r="Z1419" t="s">
        <v>164</v>
      </c>
      <c r="AA1419" t="str">
        <f>IF(OR(VLOOKUP(Table1[[#This Row],[sheet]],Prg!$A$7:$F$31,6,FALSE)=Prg!$O$2,VLOOKUP(Table1[[#This Row],[sheet]],Prg!$A$7:$F$31,6,FALSE)=Prg!$O$3),"Yes","No")</f>
        <v>Yes</v>
      </c>
      <c r="AB1419" t="s">
        <v>78</v>
      </c>
      <c r="AC1419">
        <v>20</v>
      </c>
      <c r="AD1419">
        <f ca="1">IF(ISERROR(VLOOKUP(Table1[[#This Row],[item]],INDIRECT("'"&amp;Table1[[#This Row],[sheet]]&amp;"'!$A$8:$T$42"),Table1[[#This Row],[r]],FALSE)),"",VLOOKUP(Table1[[#This Row],[item]],INDIRECT("'"&amp;Table1[[#This Row],[sheet]]&amp;"'!$A$8:$T$42"),Table1[[#This Row],[r]],FALSE))</f>
        <v>84455</v>
      </c>
      <c r="AE1419">
        <f>IF(VLOOKUP(Table1[[#This Row],[sheet]],Prg!$A$7:$J$31,10,FALSE)="","",VLOOKUP(Table1[[#This Row],[sheet]],Prg!$A$7:$J$31,10,FALSE)*1)</f>
        <v>2</v>
      </c>
      <c r="AF1419" t="str">
        <f>VLOOKUP(Table1[[#This Row],[sheet]],Prg!$A$7:$J$31,5,FALSE)</f>
        <v>R - ASIA - FAR EAST AREA</v>
      </c>
      <c r="AG1419">
        <f>ROW()</f>
        <v>1419</v>
      </c>
    </row>
    <row r="1420" spans="24:33" hidden="1" x14ac:dyDescent="0.25">
      <c r="X1420">
        <v>8</v>
      </c>
      <c r="Y1420" t="s">
        <v>755</v>
      </c>
      <c r="Z1420" t="s">
        <v>166</v>
      </c>
      <c r="AA1420" t="str">
        <f>IF(OR(VLOOKUP(Table1[[#This Row],[sheet]],Prg!$A$7:$F$31,6,FALSE)=Prg!$O$2,VLOOKUP(Table1[[#This Row],[sheet]],Prg!$A$7:$F$31,6,FALSE)=Prg!$O$3),"Yes","No")</f>
        <v>Yes</v>
      </c>
      <c r="AB1420" t="s">
        <v>78</v>
      </c>
      <c r="AC1420">
        <v>20</v>
      </c>
      <c r="AD1420">
        <f ca="1">IF(ISERROR(VLOOKUP(Table1[[#This Row],[item]],INDIRECT("'"&amp;Table1[[#This Row],[sheet]]&amp;"'!$A$8:$T$42"),Table1[[#This Row],[r]],FALSE)),"",VLOOKUP(Table1[[#This Row],[item]],INDIRECT("'"&amp;Table1[[#This Row],[sheet]]&amp;"'!$A$8:$T$42"),Table1[[#This Row],[r]],FALSE))</f>
        <v>5287242.95</v>
      </c>
      <c r="AE1420">
        <f>IF(VLOOKUP(Table1[[#This Row],[sheet]],Prg!$A$7:$J$31,10,FALSE)="","",VLOOKUP(Table1[[#This Row],[sheet]],Prg!$A$7:$J$31,10,FALSE)*1)</f>
        <v>2</v>
      </c>
      <c r="AF1420" t="str">
        <f>VLOOKUP(Table1[[#This Row],[sheet]],Prg!$A$7:$J$31,5,FALSE)</f>
        <v>R - ASIA - FAR EAST AREA</v>
      </c>
      <c r="AG1420">
        <f>ROW()</f>
        <v>1420</v>
      </c>
    </row>
    <row r="1421" spans="24:33" hidden="1" x14ac:dyDescent="0.25">
      <c r="X1421">
        <v>8</v>
      </c>
      <c r="Y1421" t="s">
        <v>756</v>
      </c>
      <c r="Z1421" t="s">
        <v>757</v>
      </c>
      <c r="AA1421" t="str">
        <f>IF(OR(VLOOKUP(Table1[[#This Row],[sheet]],Prg!$A$7:$F$31,6,FALSE)=Prg!$O$2,VLOOKUP(Table1[[#This Row],[sheet]],Prg!$A$7:$F$31,6,FALSE)=Prg!$O$3),"Yes","No")</f>
        <v>Yes</v>
      </c>
      <c r="AB1421" t="s">
        <v>78</v>
      </c>
      <c r="AC1421">
        <v>20</v>
      </c>
      <c r="AD1421">
        <f ca="1">IF(ISERROR(VLOOKUP(Table1[[#This Row],[item]],INDIRECT("'"&amp;Table1[[#This Row],[sheet]]&amp;"'!$A$8:$T$42"),Table1[[#This Row],[r]],FALSE)),"",VLOOKUP(Table1[[#This Row],[item]],INDIRECT("'"&amp;Table1[[#This Row],[sheet]]&amp;"'!$A$8:$T$42"),Table1[[#This Row],[r]],FALSE))</f>
        <v>1808120.92</v>
      </c>
      <c r="AE1421">
        <f>IF(VLOOKUP(Table1[[#This Row],[sheet]],Prg!$A$7:$J$31,10,FALSE)="","",VLOOKUP(Table1[[#This Row],[sheet]],Prg!$A$7:$J$31,10,FALSE)*1)</f>
        <v>2</v>
      </c>
      <c r="AF1421" t="str">
        <f>VLOOKUP(Table1[[#This Row],[sheet]],Prg!$A$7:$J$31,5,FALSE)</f>
        <v>R - ASIA - FAR EAST AREA</v>
      </c>
      <c r="AG1421">
        <f>ROW()</f>
        <v>1421</v>
      </c>
    </row>
    <row r="1422" spans="24:33" hidden="1" x14ac:dyDescent="0.25">
      <c r="X1422">
        <v>8</v>
      </c>
      <c r="Y1422" t="s">
        <v>758</v>
      </c>
      <c r="Z1422" t="s">
        <v>170</v>
      </c>
      <c r="AA1422" t="str">
        <f>IF(OR(VLOOKUP(Table1[[#This Row],[sheet]],Prg!$A$7:$F$31,6,FALSE)=Prg!$O$2,VLOOKUP(Table1[[#This Row],[sheet]],Prg!$A$7:$F$31,6,FALSE)=Prg!$O$3),"Yes","No")</f>
        <v>Yes</v>
      </c>
      <c r="AB1422" t="s">
        <v>78</v>
      </c>
      <c r="AC1422">
        <v>20</v>
      </c>
      <c r="AD1422">
        <f ca="1">IF(ISERROR(VLOOKUP(Table1[[#This Row],[item]],INDIRECT("'"&amp;Table1[[#This Row],[sheet]]&amp;"'!$A$8:$T$42"),Table1[[#This Row],[r]],FALSE)),"",VLOOKUP(Table1[[#This Row],[item]],INDIRECT("'"&amp;Table1[[#This Row],[sheet]]&amp;"'!$A$8:$T$42"),Table1[[#This Row],[r]],FALSE))</f>
        <v>869449.77</v>
      </c>
      <c r="AE1422">
        <f>IF(VLOOKUP(Table1[[#This Row],[sheet]],Prg!$A$7:$J$31,10,FALSE)="","",VLOOKUP(Table1[[#This Row],[sheet]],Prg!$A$7:$J$31,10,FALSE)*1)</f>
        <v>2</v>
      </c>
      <c r="AF1422" t="str">
        <f>VLOOKUP(Table1[[#This Row],[sheet]],Prg!$A$7:$J$31,5,FALSE)</f>
        <v>R - ASIA - FAR EAST AREA</v>
      </c>
      <c r="AG1422">
        <f>ROW()</f>
        <v>1422</v>
      </c>
    </row>
    <row r="1423" spans="24:33" hidden="1" x14ac:dyDescent="0.25">
      <c r="X1423">
        <v>8</v>
      </c>
      <c r="Y1423" t="s">
        <v>759</v>
      </c>
      <c r="Z1423" t="s">
        <v>172</v>
      </c>
      <c r="AA1423" t="str">
        <f>IF(OR(VLOOKUP(Table1[[#This Row],[sheet]],Prg!$A$7:$F$31,6,FALSE)=Prg!$O$2,VLOOKUP(Table1[[#This Row],[sheet]],Prg!$A$7:$F$31,6,FALSE)=Prg!$O$3),"Yes","No")</f>
        <v>Yes</v>
      </c>
      <c r="AB1423" t="s">
        <v>78</v>
      </c>
      <c r="AC1423">
        <v>20</v>
      </c>
      <c r="AD1423">
        <f ca="1">IF(ISERROR(VLOOKUP(Table1[[#This Row],[item]],INDIRECT("'"&amp;Table1[[#This Row],[sheet]]&amp;"'!$A$8:$T$42"),Table1[[#This Row],[r]],FALSE)),"",VLOOKUP(Table1[[#This Row],[item]],INDIRECT("'"&amp;Table1[[#This Row],[sheet]]&amp;"'!$A$8:$T$42"),Table1[[#This Row],[r]],FALSE))</f>
        <v>18250</v>
      </c>
      <c r="AE1423">
        <f>IF(VLOOKUP(Table1[[#This Row],[sheet]],Prg!$A$7:$J$31,10,FALSE)="","",VLOOKUP(Table1[[#This Row],[sheet]],Prg!$A$7:$J$31,10,FALSE)*1)</f>
        <v>2</v>
      </c>
      <c r="AF1423" t="str">
        <f>VLOOKUP(Table1[[#This Row],[sheet]],Prg!$A$7:$J$31,5,FALSE)</f>
        <v>R - ASIA - FAR EAST AREA</v>
      </c>
      <c r="AG1423">
        <f>ROW()</f>
        <v>1423</v>
      </c>
    </row>
    <row r="1424" spans="24:33" hidden="1" x14ac:dyDescent="0.25">
      <c r="X1424">
        <v>8</v>
      </c>
      <c r="Y1424" t="s">
        <v>760</v>
      </c>
      <c r="Z1424" t="s">
        <v>174</v>
      </c>
      <c r="AA1424" t="str">
        <f>IF(OR(VLOOKUP(Table1[[#This Row],[sheet]],Prg!$A$7:$F$31,6,FALSE)=Prg!$O$2,VLOOKUP(Table1[[#This Row],[sheet]],Prg!$A$7:$F$31,6,FALSE)=Prg!$O$3),"Yes","No")</f>
        <v>Yes</v>
      </c>
      <c r="AB1424" t="s">
        <v>78</v>
      </c>
      <c r="AC1424">
        <v>20</v>
      </c>
      <c r="AD1424">
        <f ca="1">IF(ISERROR(VLOOKUP(Table1[[#This Row],[item]],INDIRECT("'"&amp;Table1[[#This Row],[sheet]]&amp;"'!$A$8:$T$42"),Table1[[#This Row],[r]],FALSE)),"",VLOOKUP(Table1[[#This Row],[item]],INDIRECT("'"&amp;Table1[[#This Row],[sheet]]&amp;"'!$A$8:$T$42"),Table1[[#This Row],[r]],FALSE))</f>
        <v>656099.77</v>
      </c>
      <c r="AE1424">
        <f>IF(VLOOKUP(Table1[[#This Row],[sheet]],Prg!$A$7:$J$31,10,FALSE)="","",VLOOKUP(Table1[[#This Row],[sheet]],Prg!$A$7:$J$31,10,FALSE)*1)</f>
        <v>2</v>
      </c>
      <c r="AF1424" t="str">
        <f>VLOOKUP(Table1[[#This Row],[sheet]],Prg!$A$7:$J$31,5,FALSE)</f>
        <v>R - ASIA - FAR EAST AREA</v>
      </c>
      <c r="AG1424">
        <f>ROW()</f>
        <v>1424</v>
      </c>
    </row>
    <row r="1425" spans="24:33" hidden="1" x14ac:dyDescent="0.25">
      <c r="X1425">
        <v>8</v>
      </c>
      <c r="Y1425" t="s">
        <v>761</v>
      </c>
      <c r="Z1425" t="s">
        <v>762</v>
      </c>
      <c r="AA1425" t="str">
        <f>IF(OR(VLOOKUP(Table1[[#This Row],[sheet]],Prg!$A$7:$F$31,6,FALSE)=Prg!$O$2,VLOOKUP(Table1[[#This Row],[sheet]],Prg!$A$7:$F$31,6,FALSE)=Prg!$O$3),"Yes","No")</f>
        <v>Yes</v>
      </c>
      <c r="AB1425" t="s">
        <v>78</v>
      </c>
      <c r="AC1425">
        <v>20</v>
      </c>
      <c r="AD1425">
        <f ca="1">IF(ISERROR(VLOOKUP(Table1[[#This Row],[item]],INDIRECT("'"&amp;Table1[[#This Row],[sheet]]&amp;"'!$A$8:$T$42"),Table1[[#This Row],[r]],FALSE)),"",VLOOKUP(Table1[[#This Row],[item]],INDIRECT("'"&amp;Table1[[#This Row],[sheet]]&amp;"'!$A$8:$T$42"),Table1[[#This Row],[r]],FALSE))</f>
        <v>195100</v>
      </c>
      <c r="AE1425">
        <f>IF(VLOOKUP(Table1[[#This Row],[sheet]],Prg!$A$7:$J$31,10,FALSE)="","",VLOOKUP(Table1[[#This Row],[sheet]],Prg!$A$7:$J$31,10,FALSE)*1)</f>
        <v>2</v>
      </c>
      <c r="AF1425" t="str">
        <f>VLOOKUP(Table1[[#This Row],[sheet]],Prg!$A$7:$J$31,5,FALSE)</f>
        <v>R - ASIA - FAR EAST AREA</v>
      </c>
      <c r="AG1425">
        <f>ROW()</f>
        <v>1425</v>
      </c>
    </row>
    <row r="1426" spans="24:33" hidden="1" x14ac:dyDescent="0.25">
      <c r="X1426">
        <v>8</v>
      </c>
      <c r="Y1426" t="s">
        <v>763</v>
      </c>
      <c r="Z1426" t="s">
        <v>178</v>
      </c>
      <c r="AA1426" t="str">
        <f>IF(OR(VLOOKUP(Table1[[#This Row],[sheet]],Prg!$A$7:$F$31,6,FALSE)=Prg!$O$2,VLOOKUP(Table1[[#This Row],[sheet]],Prg!$A$7:$F$31,6,FALSE)=Prg!$O$3),"Yes","No")</f>
        <v>Yes</v>
      </c>
      <c r="AB1426" t="s">
        <v>78</v>
      </c>
      <c r="AC1426">
        <v>20</v>
      </c>
      <c r="AD1426">
        <f ca="1">IF(ISERROR(VLOOKUP(Table1[[#This Row],[item]],INDIRECT("'"&amp;Table1[[#This Row],[sheet]]&amp;"'!$A$8:$T$42"),Table1[[#This Row],[r]],FALSE)),"",VLOOKUP(Table1[[#This Row],[item]],INDIRECT("'"&amp;Table1[[#This Row],[sheet]]&amp;"'!$A$8:$T$42"),Table1[[#This Row],[r]],FALSE))</f>
        <v>3405949.7</v>
      </c>
      <c r="AE1426">
        <f>IF(VLOOKUP(Table1[[#This Row],[sheet]],Prg!$A$7:$J$31,10,FALSE)="","",VLOOKUP(Table1[[#This Row],[sheet]],Prg!$A$7:$J$31,10,FALSE)*1)</f>
        <v>2</v>
      </c>
      <c r="AF1426" t="str">
        <f>VLOOKUP(Table1[[#This Row],[sheet]],Prg!$A$7:$J$31,5,FALSE)</f>
        <v>R - ASIA - FAR EAST AREA</v>
      </c>
      <c r="AG1426">
        <f>ROW()</f>
        <v>1426</v>
      </c>
    </row>
    <row r="1427" spans="24:33" hidden="1" x14ac:dyDescent="0.25">
      <c r="X1427">
        <v>8</v>
      </c>
      <c r="Y1427" t="s">
        <v>764</v>
      </c>
      <c r="Z1427" t="s">
        <v>109</v>
      </c>
      <c r="AA1427" t="str">
        <f>IF(OR(VLOOKUP(Table1[[#This Row],[sheet]],Prg!$A$7:$F$31,6,FALSE)=Prg!$O$2,VLOOKUP(Table1[[#This Row],[sheet]],Prg!$A$7:$F$31,6,FALSE)=Prg!$O$3),"Yes","No")</f>
        <v>Yes</v>
      </c>
      <c r="AB1427" t="s">
        <v>78</v>
      </c>
      <c r="AC1427">
        <v>20</v>
      </c>
      <c r="AD1427">
        <f ca="1">IF(ISERROR(VLOOKUP(Table1[[#This Row],[item]],INDIRECT("'"&amp;Table1[[#This Row],[sheet]]&amp;"'!$A$8:$T$42"),Table1[[#This Row],[r]],FALSE)),"",VLOOKUP(Table1[[#This Row],[item]],INDIRECT("'"&amp;Table1[[#This Row],[sheet]]&amp;"'!$A$8:$T$42"),Table1[[#This Row],[r]],FALSE))</f>
        <v>38700</v>
      </c>
      <c r="AE1427">
        <f>IF(VLOOKUP(Table1[[#This Row],[sheet]],Prg!$A$7:$J$31,10,FALSE)="","",VLOOKUP(Table1[[#This Row],[sheet]],Prg!$A$7:$J$31,10,FALSE)*1)</f>
        <v>2</v>
      </c>
      <c r="AF1427" t="str">
        <f>VLOOKUP(Table1[[#This Row],[sheet]],Prg!$A$7:$J$31,5,FALSE)</f>
        <v>R - ASIA - FAR EAST AREA</v>
      </c>
      <c r="AG1427">
        <f>ROW()</f>
        <v>1427</v>
      </c>
    </row>
    <row r="1428" spans="24:33" hidden="1" x14ac:dyDescent="0.25">
      <c r="X1428">
        <v>8</v>
      </c>
      <c r="Y1428" t="s">
        <v>765</v>
      </c>
      <c r="Z1428" t="s">
        <v>117</v>
      </c>
      <c r="AA1428" t="str">
        <f>IF(OR(VLOOKUP(Table1[[#This Row],[sheet]],Prg!$A$7:$F$31,6,FALSE)=Prg!$O$2,VLOOKUP(Table1[[#This Row],[sheet]],Prg!$A$7:$F$31,6,FALSE)=Prg!$O$3),"Yes","No")</f>
        <v>Yes</v>
      </c>
      <c r="AB1428" t="s">
        <v>78</v>
      </c>
      <c r="AC1428">
        <v>20</v>
      </c>
      <c r="AD1428">
        <f ca="1">IF(ISERROR(VLOOKUP(Table1[[#This Row],[item]],INDIRECT("'"&amp;Table1[[#This Row],[sheet]]&amp;"'!$A$8:$T$42"),Table1[[#This Row],[r]],FALSE)),"",VLOOKUP(Table1[[#This Row],[item]],INDIRECT("'"&amp;Table1[[#This Row],[sheet]]&amp;"'!$A$8:$T$42"),Table1[[#This Row],[r]],FALSE))</f>
        <v>793272.51</v>
      </c>
      <c r="AE1428">
        <f>IF(VLOOKUP(Table1[[#This Row],[sheet]],Prg!$A$7:$J$31,10,FALSE)="","",VLOOKUP(Table1[[#This Row],[sheet]],Prg!$A$7:$J$31,10,FALSE)*1)</f>
        <v>2</v>
      </c>
      <c r="AF1428" t="str">
        <f>VLOOKUP(Table1[[#This Row],[sheet]],Prg!$A$7:$J$31,5,FALSE)</f>
        <v>R - ASIA - FAR EAST AREA</v>
      </c>
      <c r="AG1428">
        <f>ROW()</f>
        <v>1428</v>
      </c>
    </row>
    <row r="1429" spans="24:33" hidden="1" x14ac:dyDescent="0.25">
      <c r="X1429">
        <v>8</v>
      </c>
      <c r="Y1429" t="s">
        <v>766</v>
      </c>
      <c r="Z1429" t="s">
        <v>767</v>
      </c>
      <c r="AA1429" t="str">
        <f>IF(OR(VLOOKUP(Table1[[#This Row],[sheet]],Prg!$A$7:$F$31,6,FALSE)=Prg!$O$2,VLOOKUP(Table1[[#This Row],[sheet]],Prg!$A$7:$F$31,6,FALSE)=Prg!$O$3),"Yes","No")</f>
        <v>Yes</v>
      </c>
      <c r="AB1429" t="s">
        <v>78</v>
      </c>
      <c r="AC1429">
        <v>20</v>
      </c>
      <c r="AD1429">
        <f ca="1">IF(ISERROR(VLOOKUP(Table1[[#This Row],[item]],INDIRECT("'"&amp;Table1[[#This Row],[sheet]]&amp;"'!$A$8:$T$42"),Table1[[#This Row],[r]],FALSE)),"",VLOOKUP(Table1[[#This Row],[item]],INDIRECT("'"&amp;Table1[[#This Row],[sheet]]&amp;"'!$A$8:$T$42"),Table1[[#This Row],[r]],FALSE))</f>
        <v>2573977.19</v>
      </c>
      <c r="AE1429">
        <f>IF(VLOOKUP(Table1[[#This Row],[sheet]],Prg!$A$7:$J$31,10,FALSE)="","",VLOOKUP(Table1[[#This Row],[sheet]],Prg!$A$7:$J$31,10,FALSE)*1)</f>
        <v>2</v>
      </c>
      <c r="AF1429" t="str">
        <f>VLOOKUP(Table1[[#This Row],[sheet]],Prg!$A$7:$J$31,5,FALSE)</f>
        <v>R - ASIA - FAR EAST AREA</v>
      </c>
      <c r="AG1429">
        <f>ROW()</f>
        <v>1429</v>
      </c>
    </row>
    <row r="1430" spans="24:33" hidden="1" x14ac:dyDescent="0.25">
      <c r="X1430">
        <v>8</v>
      </c>
      <c r="Y1430" t="s">
        <v>768</v>
      </c>
      <c r="Z1430" t="s">
        <v>182</v>
      </c>
      <c r="AA1430" t="str">
        <f>IF(OR(VLOOKUP(Table1[[#This Row],[sheet]],Prg!$A$7:$F$31,6,FALSE)=Prg!$O$2,VLOOKUP(Table1[[#This Row],[sheet]],Prg!$A$7:$F$31,6,FALSE)=Prg!$O$3),"Yes","No")</f>
        <v>Yes</v>
      </c>
      <c r="AB1430" t="s">
        <v>78</v>
      </c>
      <c r="AC1430">
        <v>20</v>
      </c>
      <c r="AD1430">
        <f ca="1">IF(ISERROR(VLOOKUP(Table1[[#This Row],[item]],INDIRECT("'"&amp;Table1[[#This Row],[sheet]]&amp;"'!$A$8:$T$42"),Table1[[#This Row],[r]],FALSE)),"",VLOOKUP(Table1[[#This Row],[item]],INDIRECT("'"&amp;Table1[[#This Row],[sheet]]&amp;"'!$A$8:$T$42"),Table1[[#This Row],[r]],FALSE))</f>
        <v>60000</v>
      </c>
      <c r="AE1430">
        <f>IF(VLOOKUP(Table1[[#This Row],[sheet]],Prg!$A$7:$J$31,10,FALSE)="","",VLOOKUP(Table1[[#This Row],[sheet]],Prg!$A$7:$J$31,10,FALSE)*1)</f>
        <v>2</v>
      </c>
      <c r="AF1430" t="str">
        <f>VLOOKUP(Table1[[#This Row],[sheet]],Prg!$A$7:$J$31,5,FALSE)</f>
        <v>R - ASIA - FAR EAST AREA</v>
      </c>
      <c r="AG1430">
        <f>ROW()</f>
        <v>1430</v>
      </c>
    </row>
    <row r="1431" spans="24:33" hidden="1" x14ac:dyDescent="0.25">
      <c r="X1431">
        <v>8</v>
      </c>
      <c r="Y1431" t="s">
        <v>769</v>
      </c>
      <c r="Z1431" t="s">
        <v>184</v>
      </c>
      <c r="AA1431" t="str">
        <f>IF(OR(VLOOKUP(Table1[[#This Row],[sheet]],Prg!$A$7:$F$31,6,FALSE)=Prg!$O$2,VLOOKUP(Table1[[#This Row],[sheet]],Prg!$A$7:$F$31,6,FALSE)=Prg!$O$3),"Yes","No")</f>
        <v>Yes</v>
      </c>
      <c r="AB1431" t="s">
        <v>78</v>
      </c>
      <c r="AC1431">
        <v>20</v>
      </c>
      <c r="AD1431">
        <f ca="1">IF(ISERROR(VLOOKUP(Table1[[#This Row],[item]],INDIRECT("'"&amp;Table1[[#This Row],[sheet]]&amp;"'!$A$8:$T$42"),Table1[[#This Row],[r]],FALSE)),"",VLOOKUP(Table1[[#This Row],[item]],INDIRECT("'"&amp;Table1[[#This Row],[sheet]]&amp;"'!$A$8:$T$42"),Table1[[#This Row],[r]],FALSE))</f>
        <v>0</v>
      </c>
      <c r="AE1431">
        <f>IF(VLOOKUP(Table1[[#This Row],[sheet]],Prg!$A$7:$J$31,10,FALSE)="","",VLOOKUP(Table1[[#This Row],[sheet]],Prg!$A$7:$J$31,10,FALSE)*1)</f>
        <v>2</v>
      </c>
      <c r="AF1431" t="str">
        <f>VLOOKUP(Table1[[#This Row],[sheet]],Prg!$A$7:$J$31,5,FALSE)</f>
        <v>R - ASIA - FAR EAST AREA</v>
      </c>
      <c r="AG1431">
        <f>ROW()</f>
        <v>1431</v>
      </c>
    </row>
    <row r="1432" spans="24:33" hidden="1" x14ac:dyDescent="0.25">
      <c r="X1432">
        <v>8</v>
      </c>
      <c r="Y1432" t="s">
        <v>770</v>
      </c>
      <c r="Z1432" t="s">
        <v>186</v>
      </c>
      <c r="AA1432" t="str">
        <f>IF(OR(VLOOKUP(Table1[[#This Row],[sheet]],Prg!$A$7:$F$31,6,FALSE)=Prg!$O$2,VLOOKUP(Table1[[#This Row],[sheet]],Prg!$A$7:$F$31,6,FALSE)=Prg!$O$3),"Yes","No")</f>
        <v>Yes</v>
      </c>
      <c r="AB1432" t="s">
        <v>78</v>
      </c>
      <c r="AC1432">
        <v>20</v>
      </c>
      <c r="AD1432">
        <f ca="1">IF(ISERROR(VLOOKUP(Table1[[#This Row],[item]],INDIRECT("'"&amp;Table1[[#This Row],[sheet]]&amp;"'!$A$8:$T$42"),Table1[[#This Row],[r]],FALSE)),"",VLOOKUP(Table1[[#This Row],[item]],INDIRECT("'"&amp;Table1[[#This Row],[sheet]]&amp;"'!$A$8:$T$42"),Table1[[#This Row],[r]],FALSE))</f>
        <v>60000</v>
      </c>
      <c r="AE1432">
        <f>IF(VLOOKUP(Table1[[#This Row],[sheet]],Prg!$A$7:$J$31,10,FALSE)="","",VLOOKUP(Table1[[#This Row],[sheet]],Prg!$A$7:$J$31,10,FALSE)*1)</f>
        <v>2</v>
      </c>
      <c r="AF1432" t="str">
        <f>VLOOKUP(Table1[[#This Row],[sheet]],Prg!$A$7:$J$31,5,FALSE)</f>
        <v>R - ASIA - FAR EAST AREA</v>
      </c>
      <c r="AG1432">
        <f>ROW()</f>
        <v>1432</v>
      </c>
    </row>
    <row r="1433" spans="24:33" hidden="1" x14ac:dyDescent="0.25">
      <c r="X1433">
        <v>8</v>
      </c>
      <c r="Y1433" t="s">
        <v>771</v>
      </c>
      <c r="Z1433" t="s">
        <v>772</v>
      </c>
      <c r="AA1433" t="str">
        <f>IF(OR(VLOOKUP(Table1[[#This Row],[sheet]],Prg!$A$7:$F$31,6,FALSE)=Prg!$O$2,VLOOKUP(Table1[[#This Row],[sheet]],Prg!$A$7:$F$31,6,FALSE)=Prg!$O$3),"Yes","No")</f>
        <v>Yes</v>
      </c>
      <c r="AB1433" t="s">
        <v>78</v>
      </c>
      <c r="AC1433">
        <v>20</v>
      </c>
      <c r="AD1433">
        <f ca="1">IF(ISERROR(VLOOKUP(Table1[[#This Row],[item]],INDIRECT("'"&amp;Table1[[#This Row],[sheet]]&amp;"'!$A$8:$T$42"),Table1[[#This Row],[r]],FALSE)),"",VLOOKUP(Table1[[#This Row],[item]],INDIRECT("'"&amp;Table1[[#This Row],[sheet]]&amp;"'!$A$8:$T$42"),Table1[[#This Row],[r]],FALSE))</f>
        <v>0</v>
      </c>
      <c r="AE1433">
        <f>IF(VLOOKUP(Table1[[#This Row],[sheet]],Prg!$A$7:$J$31,10,FALSE)="","",VLOOKUP(Table1[[#This Row],[sheet]],Prg!$A$7:$J$31,10,FALSE)*1)</f>
        <v>2</v>
      </c>
      <c r="AF1433" t="str">
        <f>VLOOKUP(Table1[[#This Row],[sheet]],Prg!$A$7:$J$31,5,FALSE)</f>
        <v>R - ASIA - FAR EAST AREA</v>
      </c>
      <c r="AG1433">
        <f>ROW()</f>
        <v>1433</v>
      </c>
    </row>
    <row r="1434" spans="24:33" hidden="1" x14ac:dyDescent="0.25">
      <c r="X1434">
        <v>8</v>
      </c>
      <c r="Y1434" t="s">
        <v>773</v>
      </c>
      <c r="Z1434" t="s">
        <v>190</v>
      </c>
      <c r="AA1434" t="str">
        <f>IF(OR(VLOOKUP(Table1[[#This Row],[sheet]],Prg!$A$7:$F$31,6,FALSE)=Prg!$O$2,VLOOKUP(Table1[[#This Row],[sheet]],Prg!$A$7:$F$31,6,FALSE)=Prg!$O$3),"Yes","No")</f>
        <v>Yes</v>
      </c>
      <c r="AB1434" t="s">
        <v>78</v>
      </c>
      <c r="AC1434">
        <v>20</v>
      </c>
      <c r="AD1434">
        <f ca="1">IF(ISERROR(VLOOKUP(Table1[[#This Row],[item]],INDIRECT("'"&amp;Table1[[#This Row],[sheet]]&amp;"'!$A$8:$T$42"),Table1[[#This Row],[r]],FALSE)),"",VLOOKUP(Table1[[#This Row],[item]],INDIRECT("'"&amp;Table1[[#This Row],[sheet]]&amp;"'!$A$8:$T$42"),Table1[[#This Row],[r]],FALSE))</f>
        <v>11515219.359999999</v>
      </c>
      <c r="AE1434">
        <f>IF(VLOOKUP(Table1[[#This Row],[sheet]],Prg!$A$7:$J$31,10,FALSE)="","",VLOOKUP(Table1[[#This Row],[sheet]],Prg!$A$7:$J$31,10,FALSE)*1)</f>
        <v>2</v>
      </c>
      <c r="AF1434" t="str">
        <f>VLOOKUP(Table1[[#This Row],[sheet]],Prg!$A$7:$J$31,5,FALSE)</f>
        <v>R - ASIA - FAR EAST AREA</v>
      </c>
      <c r="AG1434">
        <f>ROW()</f>
        <v>1434</v>
      </c>
    </row>
    <row r="1435" spans="24:33" hidden="1" x14ac:dyDescent="0.25">
      <c r="X1435">
        <v>8</v>
      </c>
      <c r="Y1435" t="s">
        <v>709</v>
      </c>
      <c r="Z1435" t="s">
        <v>192</v>
      </c>
      <c r="AA1435" t="str">
        <f>IF(OR(VLOOKUP(Table1[[#This Row],[sheet]],Prg!$A$7:$F$31,6,FALSE)=Prg!$O$2,VLOOKUP(Table1[[#This Row],[sheet]],Prg!$A$7:$F$31,6,FALSE)=Prg!$O$3),"Yes","No")</f>
        <v>Yes</v>
      </c>
      <c r="AB1435" t="s">
        <v>78</v>
      </c>
      <c r="AC1435">
        <v>20</v>
      </c>
      <c r="AD1435">
        <f ca="1">IF(ISERROR(VLOOKUP(Table1[[#This Row],[item]],INDIRECT("'"&amp;Table1[[#This Row],[sheet]]&amp;"'!$A$8:$T$42"),Table1[[#This Row],[r]],FALSE)),"",VLOOKUP(Table1[[#This Row],[item]],INDIRECT("'"&amp;Table1[[#This Row],[sheet]]&amp;"'!$A$8:$T$42"),Table1[[#This Row],[r]],FALSE))</f>
        <v>141405</v>
      </c>
      <c r="AE1435">
        <f>IF(VLOOKUP(Table1[[#This Row],[sheet]],Prg!$A$7:$J$31,10,FALSE)="","",VLOOKUP(Table1[[#This Row],[sheet]],Prg!$A$7:$J$31,10,FALSE)*1)</f>
        <v>2</v>
      </c>
      <c r="AF1435" t="str">
        <f>VLOOKUP(Table1[[#This Row],[sheet]],Prg!$A$7:$J$31,5,FALSE)</f>
        <v>R - ASIA - FAR EAST AREA</v>
      </c>
      <c r="AG1435">
        <f>ROW()</f>
        <v>1435</v>
      </c>
    </row>
    <row r="1436" spans="24:33" hidden="1" x14ac:dyDescent="0.25">
      <c r="X1436">
        <v>8</v>
      </c>
      <c r="Y1436" t="s">
        <v>774</v>
      </c>
      <c r="Z1436" t="s">
        <v>194</v>
      </c>
      <c r="AA1436" t="str">
        <f>IF(OR(VLOOKUP(Table1[[#This Row],[sheet]],Prg!$A$7:$F$31,6,FALSE)=Prg!$O$2,VLOOKUP(Table1[[#This Row],[sheet]],Prg!$A$7:$F$31,6,FALSE)=Prg!$O$3),"Yes","No")</f>
        <v>Yes</v>
      </c>
      <c r="AB1436" t="s">
        <v>78</v>
      </c>
      <c r="AC1436">
        <v>20</v>
      </c>
      <c r="AD1436">
        <f ca="1">IF(ISERROR(VLOOKUP(Table1[[#This Row],[item]],INDIRECT("'"&amp;Table1[[#This Row],[sheet]]&amp;"'!$A$8:$T$42"),Table1[[#This Row],[r]],FALSE)),"",VLOOKUP(Table1[[#This Row],[item]],INDIRECT("'"&amp;Table1[[#This Row],[sheet]]&amp;"'!$A$8:$T$42"),Table1[[#This Row],[r]],FALSE))</f>
        <v>5146</v>
      </c>
      <c r="AE1436">
        <f>IF(VLOOKUP(Table1[[#This Row],[sheet]],Prg!$A$7:$J$31,10,FALSE)="","",VLOOKUP(Table1[[#This Row],[sheet]],Prg!$A$7:$J$31,10,FALSE)*1)</f>
        <v>2</v>
      </c>
      <c r="AF1436" t="str">
        <f>VLOOKUP(Table1[[#This Row],[sheet]],Prg!$A$7:$J$31,5,FALSE)</f>
        <v>R - ASIA - FAR EAST AREA</v>
      </c>
      <c r="AG1436">
        <f>ROW()</f>
        <v>1436</v>
      </c>
    </row>
    <row r="1437" spans="24:33" hidden="1" x14ac:dyDescent="0.25">
      <c r="X1437">
        <v>8</v>
      </c>
      <c r="Y1437" t="s">
        <v>775</v>
      </c>
      <c r="Z1437" t="s">
        <v>196</v>
      </c>
      <c r="AA1437" t="str">
        <f>IF(OR(VLOOKUP(Table1[[#This Row],[sheet]],Prg!$A$7:$F$31,6,FALSE)=Prg!$O$2,VLOOKUP(Table1[[#This Row],[sheet]],Prg!$A$7:$F$31,6,FALSE)=Prg!$O$3),"Yes","No")</f>
        <v>Yes</v>
      </c>
      <c r="AB1437" t="s">
        <v>78</v>
      </c>
      <c r="AC1437">
        <v>20</v>
      </c>
      <c r="AD1437">
        <f ca="1">IF(ISERROR(VLOOKUP(Table1[[#This Row],[item]],INDIRECT("'"&amp;Table1[[#This Row],[sheet]]&amp;"'!$A$8:$T$42"),Table1[[#This Row],[r]],FALSE)),"",VLOOKUP(Table1[[#This Row],[item]],INDIRECT("'"&amp;Table1[[#This Row],[sheet]]&amp;"'!$A$8:$T$42"),Table1[[#This Row],[r]],FALSE))</f>
        <v>134936</v>
      </c>
      <c r="AE1437">
        <f>IF(VLOOKUP(Table1[[#This Row],[sheet]],Prg!$A$7:$J$31,10,FALSE)="","",VLOOKUP(Table1[[#This Row],[sheet]],Prg!$A$7:$J$31,10,FALSE)*1)</f>
        <v>2</v>
      </c>
      <c r="AF1437" t="str">
        <f>VLOOKUP(Table1[[#This Row],[sheet]],Prg!$A$7:$J$31,5,FALSE)</f>
        <v>R - ASIA - FAR EAST AREA</v>
      </c>
      <c r="AG1437">
        <f>ROW()</f>
        <v>1437</v>
      </c>
    </row>
    <row r="1438" spans="24:33" hidden="1" x14ac:dyDescent="0.25">
      <c r="X1438">
        <v>8</v>
      </c>
      <c r="Y1438" t="s">
        <v>776</v>
      </c>
      <c r="Z1438" t="s">
        <v>605</v>
      </c>
      <c r="AA1438" t="str">
        <f>IF(OR(VLOOKUP(Table1[[#This Row],[sheet]],Prg!$A$7:$F$31,6,FALSE)=Prg!$O$2,VLOOKUP(Table1[[#This Row],[sheet]],Prg!$A$7:$F$31,6,FALSE)=Prg!$O$3),"Yes","No")</f>
        <v>Yes</v>
      </c>
      <c r="AB1438" t="s">
        <v>78</v>
      </c>
      <c r="AC1438">
        <v>20</v>
      </c>
      <c r="AD1438">
        <f ca="1">IF(ISERROR(VLOOKUP(Table1[[#This Row],[item]],INDIRECT("'"&amp;Table1[[#This Row],[sheet]]&amp;"'!$A$8:$T$42"),Table1[[#This Row],[r]],FALSE)),"",VLOOKUP(Table1[[#This Row],[item]],INDIRECT("'"&amp;Table1[[#This Row],[sheet]]&amp;"'!$A$8:$T$42"),Table1[[#This Row],[r]],FALSE))</f>
        <v>1323</v>
      </c>
      <c r="AE1438">
        <f>IF(VLOOKUP(Table1[[#This Row],[sheet]],Prg!$A$7:$J$31,10,FALSE)="","",VLOOKUP(Table1[[#This Row],[sheet]],Prg!$A$7:$J$31,10,FALSE)*1)</f>
        <v>2</v>
      </c>
      <c r="AF1438" t="str">
        <f>VLOOKUP(Table1[[#This Row],[sheet]],Prg!$A$7:$J$31,5,FALSE)</f>
        <v>R - ASIA - FAR EAST AREA</v>
      </c>
      <c r="AG1438">
        <f>ROW()</f>
        <v>1438</v>
      </c>
    </row>
    <row r="1439" spans="24:33" hidden="1" x14ac:dyDescent="0.25">
      <c r="X1439">
        <v>8</v>
      </c>
      <c r="Y1439" t="s">
        <v>711</v>
      </c>
      <c r="Z1439" t="s">
        <v>200</v>
      </c>
      <c r="AA1439" t="str">
        <f>IF(OR(VLOOKUP(Table1[[#This Row],[sheet]],Prg!$A$7:$F$31,6,FALSE)=Prg!$O$2,VLOOKUP(Table1[[#This Row],[sheet]],Prg!$A$7:$F$31,6,FALSE)=Prg!$O$3),"Yes","No")</f>
        <v>Yes</v>
      </c>
      <c r="AB1439" t="s">
        <v>78</v>
      </c>
      <c r="AC1439">
        <v>20</v>
      </c>
      <c r="AD1439">
        <f ca="1">IF(ISERROR(VLOOKUP(Table1[[#This Row],[item]],INDIRECT("'"&amp;Table1[[#This Row],[sheet]]&amp;"'!$A$8:$T$42"),Table1[[#This Row],[r]],FALSE)),"",VLOOKUP(Table1[[#This Row],[item]],INDIRECT("'"&amp;Table1[[#This Row],[sheet]]&amp;"'!$A$8:$T$42"),Table1[[#This Row],[r]],FALSE))</f>
        <v>6796615.4500000002</v>
      </c>
      <c r="AE1439">
        <f>IF(VLOOKUP(Table1[[#This Row],[sheet]],Prg!$A$7:$J$31,10,FALSE)="","",VLOOKUP(Table1[[#This Row],[sheet]],Prg!$A$7:$J$31,10,FALSE)*1)</f>
        <v>2</v>
      </c>
      <c r="AF1439" t="str">
        <f>VLOOKUP(Table1[[#This Row],[sheet]],Prg!$A$7:$J$31,5,FALSE)</f>
        <v>R - ASIA - FAR EAST AREA</v>
      </c>
      <c r="AG1439">
        <f>ROW()</f>
        <v>1439</v>
      </c>
    </row>
    <row r="1440" spans="24:33" hidden="1" x14ac:dyDescent="0.25">
      <c r="X1440">
        <v>8</v>
      </c>
      <c r="Y1440" t="s">
        <v>777</v>
      </c>
      <c r="Z1440" t="s">
        <v>202</v>
      </c>
      <c r="AA1440" t="str">
        <f>IF(OR(VLOOKUP(Table1[[#This Row],[sheet]],Prg!$A$7:$F$31,6,FALSE)=Prg!$O$2,VLOOKUP(Table1[[#This Row],[sheet]],Prg!$A$7:$F$31,6,FALSE)=Prg!$O$3),"Yes","No")</f>
        <v>Yes</v>
      </c>
      <c r="AB1440" t="s">
        <v>78</v>
      </c>
      <c r="AC1440">
        <v>20</v>
      </c>
      <c r="AD1440">
        <f ca="1">IF(ISERROR(VLOOKUP(Table1[[#This Row],[item]],INDIRECT("'"&amp;Table1[[#This Row],[sheet]]&amp;"'!$A$8:$T$42"),Table1[[#This Row],[r]],FALSE)),"",VLOOKUP(Table1[[#This Row],[item]],INDIRECT("'"&amp;Table1[[#This Row],[sheet]]&amp;"'!$A$8:$T$42"),Table1[[#This Row],[r]],FALSE))</f>
        <v>190700</v>
      </c>
      <c r="AE1440">
        <f>IF(VLOOKUP(Table1[[#This Row],[sheet]],Prg!$A$7:$J$31,10,FALSE)="","",VLOOKUP(Table1[[#This Row],[sheet]],Prg!$A$7:$J$31,10,FALSE)*1)</f>
        <v>2</v>
      </c>
      <c r="AF1440" t="str">
        <f>VLOOKUP(Table1[[#This Row],[sheet]],Prg!$A$7:$J$31,5,FALSE)</f>
        <v>R - ASIA - FAR EAST AREA</v>
      </c>
      <c r="AG1440">
        <f>ROW()</f>
        <v>1440</v>
      </c>
    </row>
    <row r="1441" spans="24:33" hidden="1" x14ac:dyDescent="0.25">
      <c r="X1441">
        <v>8</v>
      </c>
      <c r="Y1441" t="s">
        <v>778</v>
      </c>
      <c r="Z1441" t="s">
        <v>204</v>
      </c>
      <c r="AA1441" t="str">
        <f>IF(OR(VLOOKUP(Table1[[#This Row],[sheet]],Prg!$A$7:$F$31,6,FALSE)=Prg!$O$2,VLOOKUP(Table1[[#This Row],[sheet]],Prg!$A$7:$F$31,6,FALSE)=Prg!$O$3),"Yes","No")</f>
        <v>Yes</v>
      </c>
      <c r="AB1441" t="s">
        <v>78</v>
      </c>
      <c r="AC1441">
        <v>20</v>
      </c>
      <c r="AD1441">
        <f ca="1">IF(ISERROR(VLOOKUP(Table1[[#This Row],[item]],INDIRECT("'"&amp;Table1[[#This Row],[sheet]]&amp;"'!$A$8:$T$42"),Table1[[#This Row],[r]],FALSE)),"",VLOOKUP(Table1[[#This Row],[item]],INDIRECT("'"&amp;Table1[[#This Row],[sheet]]&amp;"'!$A$8:$T$42"),Table1[[#This Row],[r]],FALSE))</f>
        <v>651322.84000000008</v>
      </c>
      <c r="AE1441">
        <f>IF(VLOOKUP(Table1[[#This Row],[sheet]],Prg!$A$7:$J$31,10,FALSE)="","",VLOOKUP(Table1[[#This Row],[sheet]],Prg!$A$7:$J$31,10,FALSE)*1)</f>
        <v>2</v>
      </c>
      <c r="AF1441" t="str">
        <f>VLOOKUP(Table1[[#This Row],[sheet]],Prg!$A$7:$J$31,5,FALSE)</f>
        <v>R - ASIA - FAR EAST AREA</v>
      </c>
      <c r="AG1441">
        <f>ROW()</f>
        <v>1441</v>
      </c>
    </row>
    <row r="1442" spans="24:33" hidden="1" x14ac:dyDescent="0.25">
      <c r="X1442">
        <v>8</v>
      </c>
      <c r="Y1442" t="s">
        <v>779</v>
      </c>
      <c r="Z1442" t="s">
        <v>605</v>
      </c>
      <c r="AA1442" t="str">
        <f>IF(OR(VLOOKUP(Table1[[#This Row],[sheet]],Prg!$A$7:$F$31,6,FALSE)=Prg!$O$2,VLOOKUP(Table1[[#This Row],[sheet]],Prg!$A$7:$F$31,6,FALSE)=Prg!$O$3),"Yes","No")</f>
        <v>Yes</v>
      </c>
      <c r="AB1442" t="s">
        <v>78</v>
      </c>
      <c r="AC1442">
        <v>20</v>
      </c>
      <c r="AD1442">
        <f ca="1">IF(ISERROR(VLOOKUP(Table1[[#This Row],[item]],INDIRECT("'"&amp;Table1[[#This Row],[sheet]]&amp;"'!$A$8:$T$42"),Table1[[#This Row],[r]],FALSE)),"",VLOOKUP(Table1[[#This Row],[item]],INDIRECT("'"&amp;Table1[[#This Row],[sheet]]&amp;"'!$A$8:$T$42"),Table1[[#This Row],[r]],FALSE))</f>
        <v>5954592.6100000003</v>
      </c>
      <c r="AE1442">
        <f>IF(VLOOKUP(Table1[[#This Row],[sheet]],Prg!$A$7:$J$31,10,FALSE)="","",VLOOKUP(Table1[[#This Row],[sheet]],Prg!$A$7:$J$31,10,FALSE)*1)</f>
        <v>2</v>
      </c>
      <c r="AF1442" t="str">
        <f>VLOOKUP(Table1[[#This Row],[sheet]],Prg!$A$7:$J$31,5,FALSE)</f>
        <v>R - ASIA - FAR EAST AREA</v>
      </c>
      <c r="AG1442">
        <f>ROW()</f>
        <v>1442</v>
      </c>
    </row>
    <row r="1443" spans="24:33" hidden="1" x14ac:dyDescent="0.25">
      <c r="X1443">
        <v>8</v>
      </c>
      <c r="Y1443" t="s">
        <v>712</v>
      </c>
      <c r="Z1443" t="s">
        <v>780</v>
      </c>
      <c r="AA1443" t="str">
        <f>IF(OR(VLOOKUP(Table1[[#This Row],[sheet]],Prg!$A$7:$F$31,6,FALSE)=Prg!$O$2,VLOOKUP(Table1[[#This Row],[sheet]],Prg!$A$7:$F$31,6,FALSE)=Prg!$O$3),"Yes","No")</f>
        <v>Yes</v>
      </c>
      <c r="AB1443" t="s">
        <v>78</v>
      </c>
      <c r="AC1443">
        <v>20</v>
      </c>
      <c r="AD1443">
        <f ca="1">IF(ISERROR(VLOOKUP(Table1[[#This Row],[item]],INDIRECT("'"&amp;Table1[[#This Row],[sheet]]&amp;"'!$A$8:$T$42"),Table1[[#This Row],[r]],FALSE)),"",VLOOKUP(Table1[[#This Row],[item]],INDIRECT("'"&amp;Table1[[#This Row],[sheet]]&amp;"'!$A$8:$T$42"),Table1[[#This Row],[r]],FALSE))</f>
        <v>4577198.91</v>
      </c>
      <c r="AE1443">
        <f>IF(VLOOKUP(Table1[[#This Row],[sheet]],Prg!$A$7:$J$31,10,FALSE)="","",VLOOKUP(Table1[[#This Row],[sheet]],Prg!$A$7:$J$31,10,FALSE)*1)</f>
        <v>2</v>
      </c>
      <c r="AF1443" t="str">
        <f>VLOOKUP(Table1[[#This Row],[sheet]],Prg!$A$7:$J$31,5,FALSE)</f>
        <v>R - ASIA - FAR EAST AREA</v>
      </c>
      <c r="AG1443">
        <f>ROW()</f>
        <v>1443</v>
      </c>
    </row>
    <row r="1444" spans="24:33" hidden="1" x14ac:dyDescent="0.25">
      <c r="X1444">
        <v>8</v>
      </c>
      <c r="Y1444" t="s">
        <v>781</v>
      </c>
      <c r="Z1444" t="s">
        <v>782</v>
      </c>
      <c r="AA1444" t="str">
        <f>IF(OR(VLOOKUP(Table1[[#This Row],[sheet]],Prg!$A$7:$F$31,6,FALSE)=Prg!$O$2,VLOOKUP(Table1[[#This Row],[sheet]],Prg!$A$7:$F$31,6,FALSE)=Prg!$O$3),"Yes","No")</f>
        <v>Yes</v>
      </c>
      <c r="AB1444" t="s">
        <v>78</v>
      </c>
      <c r="AC1444">
        <v>20</v>
      </c>
      <c r="AD1444">
        <f ca="1">IF(ISERROR(VLOOKUP(Table1[[#This Row],[item]],INDIRECT("'"&amp;Table1[[#This Row],[sheet]]&amp;"'!$A$8:$T$42"),Table1[[#This Row],[r]],FALSE)),"",VLOOKUP(Table1[[#This Row],[item]],INDIRECT("'"&amp;Table1[[#This Row],[sheet]]&amp;"'!$A$8:$T$42"),Table1[[#This Row],[r]],FALSE))</f>
        <v>0</v>
      </c>
      <c r="AE1444">
        <f>IF(VLOOKUP(Table1[[#This Row],[sheet]],Prg!$A$7:$J$31,10,FALSE)="","",VLOOKUP(Table1[[#This Row],[sheet]],Prg!$A$7:$J$31,10,FALSE)*1)</f>
        <v>2</v>
      </c>
      <c r="AF1444" t="str">
        <f>VLOOKUP(Table1[[#This Row],[sheet]],Prg!$A$7:$J$31,5,FALSE)</f>
        <v>R - ASIA - FAR EAST AREA</v>
      </c>
      <c r="AG1444">
        <f>ROW()</f>
        <v>1444</v>
      </c>
    </row>
    <row r="1445" spans="24:33" hidden="1" x14ac:dyDescent="0.25">
      <c r="X1445">
        <v>8</v>
      </c>
      <c r="Y1445" t="s">
        <v>783</v>
      </c>
      <c r="Z1445" t="s">
        <v>784</v>
      </c>
      <c r="AA1445" t="str">
        <f>IF(OR(VLOOKUP(Table1[[#This Row],[sheet]],Prg!$A$7:$F$31,6,FALSE)=Prg!$O$2,VLOOKUP(Table1[[#This Row],[sheet]],Prg!$A$7:$F$31,6,FALSE)=Prg!$O$3),"Yes","No")</f>
        <v>Yes</v>
      </c>
      <c r="AB1445" t="s">
        <v>78</v>
      </c>
      <c r="AC1445">
        <v>20</v>
      </c>
      <c r="AD1445">
        <f ca="1">IF(ISERROR(VLOOKUP(Table1[[#This Row],[item]],INDIRECT("'"&amp;Table1[[#This Row],[sheet]]&amp;"'!$A$8:$T$42"),Table1[[#This Row],[r]],FALSE)),"",VLOOKUP(Table1[[#This Row],[item]],INDIRECT("'"&amp;Table1[[#This Row],[sheet]]&amp;"'!$A$8:$T$42"),Table1[[#This Row],[r]],FALSE))</f>
        <v>99192.79</v>
      </c>
      <c r="AE1445">
        <f>IF(VLOOKUP(Table1[[#This Row],[sheet]],Prg!$A$7:$J$31,10,FALSE)="","",VLOOKUP(Table1[[#This Row],[sheet]],Prg!$A$7:$J$31,10,FALSE)*1)</f>
        <v>2</v>
      </c>
      <c r="AF1445" t="str">
        <f>VLOOKUP(Table1[[#This Row],[sheet]],Prg!$A$7:$J$31,5,FALSE)</f>
        <v>R - ASIA - FAR EAST AREA</v>
      </c>
      <c r="AG1445">
        <f>ROW()</f>
        <v>1445</v>
      </c>
    </row>
    <row r="1446" spans="24:33" hidden="1" x14ac:dyDescent="0.25">
      <c r="X1446">
        <v>8</v>
      </c>
      <c r="Y1446" t="s">
        <v>785</v>
      </c>
      <c r="Z1446" t="s">
        <v>786</v>
      </c>
      <c r="AA1446" t="str">
        <f>IF(OR(VLOOKUP(Table1[[#This Row],[sheet]],Prg!$A$7:$F$31,6,FALSE)=Prg!$O$2,VLOOKUP(Table1[[#This Row],[sheet]],Prg!$A$7:$F$31,6,FALSE)=Prg!$O$3),"Yes","No")</f>
        <v>Yes</v>
      </c>
      <c r="AB1446" t="s">
        <v>78</v>
      </c>
      <c r="AC1446">
        <v>20</v>
      </c>
      <c r="AD1446">
        <f ca="1">IF(ISERROR(VLOOKUP(Table1[[#This Row],[item]],INDIRECT("'"&amp;Table1[[#This Row],[sheet]]&amp;"'!$A$8:$T$42"),Table1[[#This Row],[r]],FALSE)),"",VLOOKUP(Table1[[#This Row],[item]],INDIRECT("'"&amp;Table1[[#This Row],[sheet]]&amp;"'!$A$8:$T$42"),Table1[[#This Row],[r]],FALSE))</f>
        <v>4467774.12</v>
      </c>
      <c r="AE1446">
        <f>IF(VLOOKUP(Table1[[#This Row],[sheet]],Prg!$A$7:$J$31,10,FALSE)="","",VLOOKUP(Table1[[#This Row],[sheet]],Prg!$A$7:$J$31,10,FALSE)*1)</f>
        <v>2</v>
      </c>
      <c r="AF1446" t="str">
        <f>VLOOKUP(Table1[[#This Row],[sheet]],Prg!$A$7:$J$31,5,FALSE)</f>
        <v>R - ASIA - FAR EAST AREA</v>
      </c>
      <c r="AG1446">
        <f>ROW()</f>
        <v>1446</v>
      </c>
    </row>
    <row r="1447" spans="24:33" hidden="1" x14ac:dyDescent="0.25">
      <c r="X1447">
        <v>8</v>
      </c>
      <c r="Y1447" t="s">
        <v>787</v>
      </c>
      <c r="Z1447" t="s">
        <v>633</v>
      </c>
      <c r="AA1447" t="str">
        <f>IF(OR(VLOOKUP(Table1[[#This Row],[sheet]],Prg!$A$7:$F$31,6,FALSE)=Prg!$O$2,VLOOKUP(Table1[[#This Row],[sheet]],Prg!$A$7:$F$31,6,FALSE)=Prg!$O$3),"Yes","No")</f>
        <v>Yes</v>
      </c>
      <c r="AB1447" t="s">
        <v>78</v>
      </c>
      <c r="AC1447">
        <v>20</v>
      </c>
      <c r="AD1447">
        <f ca="1">IF(ISERROR(VLOOKUP(Table1[[#This Row],[item]],INDIRECT("'"&amp;Table1[[#This Row],[sheet]]&amp;"'!$A$8:$T$42"),Table1[[#This Row],[r]],FALSE)),"",VLOOKUP(Table1[[#This Row],[item]],INDIRECT("'"&amp;Table1[[#This Row],[sheet]]&amp;"'!$A$8:$T$42"),Table1[[#This Row],[r]],FALSE))</f>
        <v>10232</v>
      </c>
      <c r="AE1447">
        <f>IF(VLOOKUP(Table1[[#This Row],[sheet]],Prg!$A$7:$J$31,10,FALSE)="","",VLOOKUP(Table1[[#This Row],[sheet]],Prg!$A$7:$J$31,10,FALSE)*1)</f>
        <v>2</v>
      </c>
      <c r="AF1447" t="str">
        <f>VLOOKUP(Table1[[#This Row],[sheet]],Prg!$A$7:$J$31,5,FALSE)</f>
        <v>R - ASIA - FAR EAST AREA</v>
      </c>
      <c r="AG1447">
        <f>ROW()</f>
        <v>1447</v>
      </c>
    </row>
    <row r="1448" spans="24:33" hidden="1" x14ac:dyDescent="0.25">
      <c r="X1448">
        <v>9</v>
      </c>
      <c r="Y1448" t="s">
        <v>753</v>
      </c>
      <c r="Z1448" t="s">
        <v>162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25">
      <c r="X1449">
        <v>9</v>
      </c>
      <c r="Y1449" t="s">
        <v>754</v>
      </c>
      <c r="Z1449" t="s">
        <v>164</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25">
      <c r="X1450">
        <v>9</v>
      </c>
      <c r="Y1450" t="s">
        <v>755</v>
      </c>
      <c r="Z1450" t="s">
        <v>166</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25">
      <c r="X1451">
        <v>9</v>
      </c>
      <c r="Y1451" t="s">
        <v>756</v>
      </c>
      <c r="Z1451" t="s">
        <v>757</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25">
      <c r="X1452">
        <v>9</v>
      </c>
      <c r="Y1452" t="s">
        <v>758</v>
      </c>
      <c r="Z1452" t="s">
        <v>170</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25">
      <c r="X1453">
        <v>9</v>
      </c>
      <c r="Y1453" t="s">
        <v>759</v>
      </c>
      <c r="Z1453" t="s">
        <v>172</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25">
      <c r="X1454">
        <v>9</v>
      </c>
      <c r="Y1454" t="s">
        <v>760</v>
      </c>
      <c r="Z1454" t="s">
        <v>174</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25">
      <c r="X1455">
        <v>9</v>
      </c>
      <c r="Y1455" t="s">
        <v>761</v>
      </c>
      <c r="Z1455" t="s">
        <v>762</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25">
      <c r="X1456">
        <v>9</v>
      </c>
      <c r="Y1456" t="s">
        <v>763</v>
      </c>
      <c r="Z1456" t="s">
        <v>178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25">
      <c r="X1457">
        <v>9</v>
      </c>
      <c r="Y1457" t="s">
        <v>764</v>
      </c>
      <c r="Z1457" t="s">
        <v>109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25">
      <c r="X1458">
        <v>9</v>
      </c>
      <c r="Y1458" t="s">
        <v>765</v>
      </c>
      <c r="Z1458" t="s">
        <v>117</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25">
      <c r="X1459">
        <v>9</v>
      </c>
      <c r="Y1459" t="s">
        <v>766</v>
      </c>
      <c r="Z1459" t="s">
        <v>767</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25">
      <c r="X1460">
        <v>9</v>
      </c>
      <c r="Y1460" t="s">
        <v>768</v>
      </c>
      <c r="Z1460" t="s">
        <v>182</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25">
      <c r="X1461">
        <v>9</v>
      </c>
      <c r="Y1461" t="s">
        <v>769</v>
      </c>
      <c r="Z1461" t="s">
        <v>184</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25">
      <c r="X1462">
        <v>9</v>
      </c>
      <c r="Y1462" t="s">
        <v>770</v>
      </c>
      <c r="Z1462" t="s">
        <v>186</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25">
      <c r="X1463">
        <v>9</v>
      </c>
      <c r="Y1463" t="s">
        <v>771</v>
      </c>
      <c r="Z1463" t="s">
        <v>772</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25">
      <c r="X1464">
        <v>9</v>
      </c>
      <c r="Y1464" t="s">
        <v>773</v>
      </c>
      <c r="Z1464" t="s">
        <v>190</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25">
      <c r="X1465">
        <v>9</v>
      </c>
      <c r="Y1465" t="s">
        <v>709</v>
      </c>
      <c r="Z1465" t="s">
        <v>192</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25">
      <c r="X1466">
        <v>9</v>
      </c>
      <c r="Y1466" t="s">
        <v>774</v>
      </c>
      <c r="Z1466" t="s">
        <v>194</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25">
      <c r="X1467">
        <v>9</v>
      </c>
      <c r="Y1467" t="s">
        <v>775</v>
      </c>
      <c r="Z1467" t="s">
        <v>196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25">
      <c r="X1468">
        <v>9</v>
      </c>
      <c r="Y1468" t="s">
        <v>776</v>
      </c>
      <c r="Z1468" t="s">
        <v>605</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25">
      <c r="X1469">
        <v>9</v>
      </c>
      <c r="Y1469" t="s">
        <v>711</v>
      </c>
      <c r="Z1469" t="s">
        <v>200</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25">
      <c r="X1470">
        <v>9</v>
      </c>
      <c r="Y1470" t="s">
        <v>777</v>
      </c>
      <c r="Z1470" t="s">
        <v>202</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25">
      <c r="X1471">
        <v>9</v>
      </c>
      <c r="Y1471" t="s">
        <v>778</v>
      </c>
      <c r="Z1471" t="s">
        <v>204</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25">
      <c r="X1472">
        <v>9</v>
      </c>
      <c r="Y1472" t="s">
        <v>779</v>
      </c>
      <c r="Z1472" t="s">
        <v>605</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25">
      <c r="X1473">
        <v>9</v>
      </c>
      <c r="Y1473" t="s">
        <v>712</v>
      </c>
      <c r="Z1473" t="s">
        <v>780</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25">
      <c r="X1474">
        <v>9</v>
      </c>
      <c r="Y1474" t="s">
        <v>781</v>
      </c>
      <c r="Z1474" t="s">
        <v>782</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25">
      <c r="X1475">
        <v>9</v>
      </c>
      <c r="Y1475" t="s">
        <v>783</v>
      </c>
      <c r="Z1475" t="s">
        <v>784</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25">
      <c r="X1476">
        <v>9</v>
      </c>
      <c r="Y1476" t="s">
        <v>785</v>
      </c>
      <c r="Z1476" t="s">
        <v>786</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25">
      <c r="X1477">
        <v>9</v>
      </c>
      <c r="Y1477" t="s">
        <v>787</v>
      </c>
      <c r="Z1477" t="s">
        <v>633</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25">
      <c r="X1478">
        <v>9</v>
      </c>
      <c r="Y1478" t="s">
        <v>753</v>
      </c>
      <c r="Z1478" t="s">
        <v>162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25">
      <c r="X1479">
        <v>9</v>
      </c>
      <c r="Y1479" t="s">
        <v>754</v>
      </c>
      <c r="Z1479" t="s">
        <v>164</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25">
      <c r="X1480">
        <v>9</v>
      </c>
      <c r="Y1480" t="s">
        <v>755</v>
      </c>
      <c r="Z1480" t="s">
        <v>166</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25">
      <c r="X1481">
        <v>9</v>
      </c>
      <c r="Y1481" t="s">
        <v>756</v>
      </c>
      <c r="Z1481" t="s">
        <v>757</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25">
      <c r="X1482">
        <v>9</v>
      </c>
      <c r="Y1482" t="s">
        <v>758</v>
      </c>
      <c r="Z1482" t="s">
        <v>170</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25">
      <c r="X1483">
        <v>9</v>
      </c>
      <c r="Y1483" t="s">
        <v>759</v>
      </c>
      <c r="Z1483" t="s">
        <v>172</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25">
      <c r="X1484">
        <v>9</v>
      </c>
      <c r="Y1484" t="s">
        <v>760</v>
      </c>
      <c r="Z1484" t="s">
        <v>174</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25">
      <c r="X1485">
        <v>9</v>
      </c>
      <c r="Y1485" t="s">
        <v>761</v>
      </c>
      <c r="Z1485" t="s">
        <v>762</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25">
      <c r="X1486">
        <v>9</v>
      </c>
      <c r="Y1486" t="s">
        <v>763</v>
      </c>
      <c r="Z1486" t="s">
        <v>178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25">
      <c r="X1487">
        <v>9</v>
      </c>
      <c r="Y1487" t="s">
        <v>764</v>
      </c>
      <c r="Z1487" t="s">
        <v>109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25">
      <c r="X1488">
        <v>9</v>
      </c>
      <c r="Y1488" t="s">
        <v>765</v>
      </c>
      <c r="Z1488" t="s">
        <v>117</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25">
      <c r="X1489">
        <v>9</v>
      </c>
      <c r="Y1489" t="s">
        <v>766</v>
      </c>
      <c r="Z1489" t="s">
        <v>767</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25">
      <c r="X1490">
        <v>9</v>
      </c>
      <c r="Y1490" t="s">
        <v>768</v>
      </c>
      <c r="Z1490" t="s">
        <v>182</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25">
      <c r="X1491">
        <v>9</v>
      </c>
      <c r="Y1491" t="s">
        <v>769</v>
      </c>
      <c r="Z1491" t="s">
        <v>184</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25">
      <c r="X1492">
        <v>9</v>
      </c>
      <c r="Y1492" t="s">
        <v>770</v>
      </c>
      <c r="Z1492" t="s">
        <v>186</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25">
      <c r="X1493">
        <v>9</v>
      </c>
      <c r="Y1493" t="s">
        <v>771</v>
      </c>
      <c r="Z1493" t="s">
        <v>772</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25">
      <c r="X1494">
        <v>9</v>
      </c>
      <c r="Y1494" t="s">
        <v>773</v>
      </c>
      <c r="Z1494" t="s">
        <v>190</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25">
      <c r="X1495">
        <v>9</v>
      </c>
      <c r="Y1495" t="s">
        <v>709</v>
      </c>
      <c r="Z1495" t="s">
        <v>192</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25">
      <c r="X1496">
        <v>9</v>
      </c>
      <c r="Y1496" t="s">
        <v>774</v>
      </c>
      <c r="Z1496" t="s">
        <v>194</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25">
      <c r="X1497">
        <v>9</v>
      </c>
      <c r="Y1497" t="s">
        <v>775</v>
      </c>
      <c r="Z1497" t="s">
        <v>196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25">
      <c r="X1498">
        <v>9</v>
      </c>
      <c r="Y1498" t="s">
        <v>776</v>
      </c>
      <c r="Z1498" t="s">
        <v>605</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25">
      <c r="X1499">
        <v>9</v>
      </c>
      <c r="Y1499" t="s">
        <v>711</v>
      </c>
      <c r="Z1499" t="s">
        <v>200</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25">
      <c r="X1500">
        <v>9</v>
      </c>
      <c r="Y1500" t="s">
        <v>777</v>
      </c>
      <c r="Z1500" t="s">
        <v>202</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25">
      <c r="X1501">
        <v>9</v>
      </c>
      <c r="Y1501" t="s">
        <v>778</v>
      </c>
      <c r="Z1501" t="s">
        <v>204</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25">
      <c r="X1502">
        <v>9</v>
      </c>
      <c r="Y1502" t="s">
        <v>779</v>
      </c>
      <c r="Z1502" t="s">
        <v>605</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25">
      <c r="X1503">
        <v>9</v>
      </c>
      <c r="Y1503" t="s">
        <v>712</v>
      </c>
      <c r="Z1503" t="s">
        <v>780</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25">
      <c r="X1504">
        <v>9</v>
      </c>
      <c r="Y1504" t="s">
        <v>781</v>
      </c>
      <c r="Z1504" t="s">
        <v>782</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25">
      <c r="X1505">
        <v>9</v>
      </c>
      <c r="Y1505" t="s">
        <v>783</v>
      </c>
      <c r="Z1505" t="s">
        <v>784</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25">
      <c r="X1506">
        <v>9</v>
      </c>
      <c r="Y1506" t="s">
        <v>785</v>
      </c>
      <c r="Z1506" t="s">
        <v>786</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25">
      <c r="X1507">
        <v>9</v>
      </c>
      <c r="Y1507" t="s">
        <v>787</v>
      </c>
      <c r="Z1507" t="s">
        <v>633</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25">
      <c r="X1508">
        <v>9</v>
      </c>
      <c r="Y1508" t="s">
        <v>753</v>
      </c>
      <c r="Z1508" t="s">
        <v>162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25">
      <c r="X1509">
        <v>9</v>
      </c>
      <c r="Y1509" t="s">
        <v>754</v>
      </c>
      <c r="Z1509" t="s">
        <v>164</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25">
      <c r="X1510">
        <v>9</v>
      </c>
      <c r="Y1510" t="s">
        <v>755</v>
      </c>
      <c r="Z1510" t="s">
        <v>166</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25">
      <c r="X1511">
        <v>9</v>
      </c>
      <c r="Y1511" t="s">
        <v>756</v>
      </c>
      <c r="Z1511" t="s">
        <v>757</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25">
      <c r="X1512">
        <v>9</v>
      </c>
      <c r="Y1512" t="s">
        <v>758</v>
      </c>
      <c r="Z1512" t="s">
        <v>170</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25">
      <c r="X1513">
        <v>9</v>
      </c>
      <c r="Y1513" t="s">
        <v>759</v>
      </c>
      <c r="Z1513" t="s">
        <v>172</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25">
      <c r="X1514">
        <v>9</v>
      </c>
      <c r="Y1514" t="s">
        <v>760</v>
      </c>
      <c r="Z1514" t="s">
        <v>174</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25">
      <c r="X1515">
        <v>9</v>
      </c>
      <c r="Y1515" t="s">
        <v>761</v>
      </c>
      <c r="Z1515" t="s">
        <v>762</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25">
      <c r="X1516">
        <v>9</v>
      </c>
      <c r="Y1516" t="s">
        <v>763</v>
      </c>
      <c r="Z1516" t="s">
        <v>178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25">
      <c r="X1517">
        <v>9</v>
      </c>
      <c r="Y1517" t="s">
        <v>764</v>
      </c>
      <c r="Z1517" t="s">
        <v>109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25">
      <c r="X1518">
        <v>9</v>
      </c>
      <c r="Y1518" t="s">
        <v>765</v>
      </c>
      <c r="Z1518" t="s">
        <v>117</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25">
      <c r="X1519">
        <v>9</v>
      </c>
      <c r="Y1519" t="s">
        <v>766</v>
      </c>
      <c r="Z1519" t="s">
        <v>767</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25">
      <c r="X1520">
        <v>9</v>
      </c>
      <c r="Y1520" t="s">
        <v>768</v>
      </c>
      <c r="Z1520" t="s">
        <v>182</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25">
      <c r="X1521">
        <v>9</v>
      </c>
      <c r="Y1521" t="s">
        <v>769</v>
      </c>
      <c r="Z1521" t="s">
        <v>184</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25">
      <c r="X1522">
        <v>9</v>
      </c>
      <c r="Y1522" t="s">
        <v>770</v>
      </c>
      <c r="Z1522" t="s">
        <v>186</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25">
      <c r="X1523">
        <v>9</v>
      </c>
      <c r="Y1523" t="s">
        <v>771</v>
      </c>
      <c r="Z1523" t="s">
        <v>772</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25">
      <c r="X1524">
        <v>9</v>
      </c>
      <c r="Y1524" t="s">
        <v>773</v>
      </c>
      <c r="Z1524" t="s">
        <v>190</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25">
      <c r="X1525">
        <v>9</v>
      </c>
      <c r="Y1525" t="s">
        <v>709</v>
      </c>
      <c r="Z1525" t="s">
        <v>192</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25">
      <c r="X1526">
        <v>9</v>
      </c>
      <c r="Y1526" t="s">
        <v>774</v>
      </c>
      <c r="Z1526" t="s">
        <v>194</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25">
      <c r="X1527">
        <v>9</v>
      </c>
      <c r="Y1527" t="s">
        <v>775</v>
      </c>
      <c r="Z1527" t="s">
        <v>196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25">
      <c r="X1528">
        <v>9</v>
      </c>
      <c r="Y1528" t="s">
        <v>776</v>
      </c>
      <c r="Z1528" t="s">
        <v>605</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25">
      <c r="X1529">
        <v>9</v>
      </c>
      <c r="Y1529" t="s">
        <v>711</v>
      </c>
      <c r="Z1529" t="s">
        <v>200</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25">
      <c r="X1530">
        <v>9</v>
      </c>
      <c r="Y1530" t="s">
        <v>777</v>
      </c>
      <c r="Z1530" t="s">
        <v>202</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25">
      <c r="X1531">
        <v>9</v>
      </c>
      <c r="Y1531" t="s">
        <v>778</v>
      </c>
      <c r="Z1531" t="s">
        <v>204</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25">
      <c r="X1532">
        <v>9</v>
      </c>
      <c r="Y1532" t="s">
        <v>779</v>
      </c>
      <c r="Z1532" t="s">
        <v>605</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25">
      <c r="X1533">
        <v>9</v>
      </c>
      <c r="Y1533" t="s">
        <v>712</v>
      </c>
      <c r="Z1533" t="s">
        <v>780</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25">
      <c r="X1534">
        <v>9</v>
      </c>
      <c r="Y1534" t="s">
        <v>781</v>
      </c>
      <c r="Z1534" t="s">
        <v>782</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25">
      <c r="X1535">
        <v>9</v>
      </c>
      <c r="Y1535" t="s">
        <v>783</v>
      </c>
      <c r="Z1535" t="s">
        <v>784</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25">
      <c r="X1536">
        <v>9</v>
      </c>
      <c r="Y1536" t="s">
        <v>785</v>
      </c>
      <c r="Z1536" t="s">
        <v>786</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25">
      <c r="X1537">
        <v>9</v>
      </c>
      <c r="Y1537" t="s">
        <v>787</v>
      </c>
      <c r="Z1537" t="s">
        <v>633</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25">
      <c r="X1538">
        <v>9</v>
      </c>
      <c r="Y1538" t="s">
        <v>753</v>
      </c>
      <c r="Z1538" t="s">
        <v>162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25">
      <c r="X1539">
        <v>9</v>
      </c>
      <c r="Y1539" t="s">
        <v>754</v>
      </c>
      <c r="Z1539" t="s">
        <v>164</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25">
      <c r="X1540">
        <v>9</v>
      </c>
      <c r="Y1540" t="s">
        <v>755</v>
      </c>
      <c r="Z1540" t="s">
        <v>166</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25">
      <c r="X1541">
        <v>9</v>
      </c>
      <c r="Y1541" t="s">
        <v>756</v>
      </c>
      <c r="Z1541" t="s">
        <v>757</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25">
      <c r="X1542">
        <v>9</v>
      </c>
      <c r="Y1542" t="s">
        <v>758</v>
      </c>
      <c r="Z1542" t="s">
        <v>170</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25">
      <c r="X1543">
        <v>9</v>
      </c>
      <c r="Y1543" t="s">
        <v>759</v>
      </c>
      <c r="Z1543" t="s">
        <v>172</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25">
      <c r="X1544">
        <v>9</v>
      </c>
      <c r="Y1544" t="s">
        <v>760</v>
      </c>
      <c r="Z1544" t="s">
        <v>174</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25">
      <c r="X1545">
        <v>9</v>
      </c>
      <c r="Y1545" t="s">
        <v>761</v>
      </c>
      <c r="Z1545" t="s">
        <v>762</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25">
      <c r="X1546">
        <v>9</v>
      </c>
      <c r="Y1546" t="s">
        <v>763</v>
      </c>
      <c r="Z1546" t="s">
        <v>178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25">
      <c r="X1547">
        <v>9</v>
      </c>
      <c r="Y1547" t="s">
        <v>764</v>
      </c>
      <c r="Z1547" t="s">
        <v>109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25">
      <c r="X1548">
        <v>9</v>
      </c>
      <c r="Y1548" t="s">
        <v>765</v>
      </c>
      <c r="Z1548" t="s">
        <v>117</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25">
      <c r="X1549">
        <v>9</v>
      </c>
      <c r="Y1549" t="s">
        <v>766</v>
      </c>
      <c r="Z1549" t="s">
        <v>767</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25">
      <c r="X1550">
        <v>9</v>
      </c>
      <c r="Y1550" t="s">
        <v>768</v>
      </c>
      <c r="Z1550" t="s">
        <v>182</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25">
      <c r="X1551">
        <v>9</v>
      </c>
      <c r="Y1551" t="s">
        <v>769</v>
      </c>
      <c r="Z1551" t="s">
        <v>184</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25">
      <c r="X1552">
        <v>9</v>
      </c>
      <c r="Y1552" t="s">
        <v>770</v>
      </c>
      <c r="Z1552" t="s">
        <v>186</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25">
      <c r="X1553">
        <v>9</v>
      </c>
      <c r="Y1553" t="s">
        <v>771</v>
      </c>
      <c r="Z1553" t="s">
        <v>772</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25">
      <c r="X1554">
        <v>9</v>
      </c>
      <c r="Y1554" t="s">
        <v>773</v>
      </c>
      <c r="Z1554" t="s">
        <v>190</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25">
      <c r="X1555">
        <v>9</v>
      </c>
      <c r="Y1555" t="s">
        <v>709</v>
      </c>
      <c r="Z1555" t="s">
        <v>192</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25">
      <c r="X1556">
        <v>9</v>
      </c>
      <c r="Y1556" t="s">
        <v>774</v>
      </c>
      <c r="Z1556" t="s">
        <v>194</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25">
      <c r="X1557">
        <v>9</v>
      </c>
      <c r="Y1557" t="s">
        <v>775</v>
      </c>
      <c r="Z1557" t="s">
        <v>196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25">
      <c r="X1558">
        <v>9</v>
      </c>
      <c r="Y1558" t="s">
        <v>776</v>
      </c>
      <c r="Z1558" t="s">
        <v>605</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25">
      <c r="X1559">
        <v>9</v>
      </c>
      <c r="Y1559" t="s">
        <v>711</v>
      </c>
      <c r="Z1559" t="s">
        <v>200</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25">
      <c r="X1560">
        <v>9</v>
      </c>
      <c r="Y1560" t="s">
        <v>777</v>
      </c>
      <c r="Z1560" t="s">
        <v>202</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25">
      <c r="X1561">
        <v>9</v>
      </c>
      <c r="Y1561" t="s">
        <v>778</v>
      </c>
      <c r="Z1561" t="s">
        <v>204</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25">
      <c r="X1562">
        <v>9</v>
      </c>
      <c r="Y1562" t="s">
        <v>779</v>
      </c>
      <c r="Z1562" t="s">
        <v>605</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25">
      <c r="X1563">
        <v>9</v>
      </c>
      <c r="Y1563" t="s">
        <v>712</v>
      </c>
      <c r="Z1563" t="s">
        <v>780</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25">
      <c r="X1564">
        <v>9</v>
      </c>
      <c r="Y1564" t="s">
        <v>781</v>
      </c>
      <c r="Z1564" t="s">
        <v>782</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25">
      <c r="X1565">
        <v>9</v>
      </c>
      <c r="Y1565" t="s">
        <v>783</v>
      </c>
      <c r="Z1565" t="s">
        <v>784</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25">
      <c r="X1566">
        <v>9</v>
      </c>
      <c r="Y1566" t="s">
        <v>785</v>
      </c>
      <c r="Z1566" t="s">
        <v>786</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25">
      <c r="X1567">
        <v>9</v>
      </c>
      <c r="Y1567" t="s">
        <v>787</v>
      </c>
      <c r="Z1567" t="s">
        <v>633</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25">
      <c r="X1568">
        <v>9</v>
      </c>
      <c r="Y1568" t="s">
        <v>753</v>
      </c>
      <c r="Z1568" t="s">
        <v>162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25">
      <c r="X1569">
        <v>9</v>
      </c>
      <c r="Y1569" t="s">
        <v>754</v>
      </c>
      <c r="Z1569" t="s">
        <v>164</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25">
      <c r="X1570">
        <v>9</v>
      </c>
      <c r="Y1570" t="s">
        <v>755</v>
      </c>
      <c r="Z1570" t="s">
        <v>166</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25">
      <c r="X1571">
        <v>9</v>
      </c>
      <c r="Y1571" t="s">
        <v>756</v>
      </c>
      <c r="Z1571" t="s">
        <v>757</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25">
      <c r="X1572">
        <v>9</v>
      </c>
      <c r="Y1572" t="s">
        <v>758</v>
      </c>
      <c r="Z1572" t="s">
        <v>170</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25">
      <c r="X1573">
        <v>9</v>
      </c>
      <c r="Y1573" t="s">
        <v>759</v>
      </c>
      <c r="Z1573" t="s">
        <v>172</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25">
      <c r="X1574">
        <v>9</v>
      </c>
      <c r="Y1574" t="s">
        <v>760</v>
      </c>
      <c r="Z1574" t="s">
        <v>174</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25">
      <c r="X1575">
        <v>9</v>
      </c>
      <c r="Y1575" t="s">
        <v>761</v>
      </c>
      <c r="Z1575" t="s">
        <v>762</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25">
      <c r="X1576">
        <v>9</v>
      </c>
      <c r="Y1576" t="s">
        <v>763</v>
      </c>
      <c r="Z1576" t="s">
        <v>178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25">
      <c r="X1577">
        <v>9</v>
      </c>
      <c r="Y1577" t="s">
        <v>764</v>
      </c>
      <c r="Z1577" t="s">
        <v>109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25">
      <c r="X1578">
        <v>9</v>
      </c>
      <c r="Y1578" t="s">
        <v>765</v>
      </c>
      <c r="Z1578" t="s">
        <v>117</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25">
      <c r="X1579">
        <v>9</v>
      </c>
      <c r="Y1579" t="s">
        <v>766</v>
      </c>
      <c r="Z1579" t="s">
        <v>767</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25">
      <c r="X1580">
        <v>9</v>
      </c>
      <c r="Y1580" t="s">
        <v>768</v>
      </c>
      <c r="Z1580" t="s">
        <v>182</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25">
      <c r="X1581">
        <v>9</v>
      </c>
      <c r="Y1581" t="s">
        <v>769</v>
      </c>
      <c r="Z1581" t="s">
        <v>184</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25">
      <c r="X1582">
        <v>9</v>
      </c>
      <c r="Y1582" t="s">
        <v>770</v>
      </c>
      <c r="Z1582" t="s">
        <v>186</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25">
      <c r="X1583">
        <v>9</v>
      </c>
      <c r="Y1583" t="s">
        <v>771</v>
      </c>
      <c r="Z1583" t="s">
        <v>772</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25">
      <c r="X1584">
        <v>9</v>
      </c>
      <c r="Y1584" t="s">
        <v>773</v>
      </c>
      <c r="Z1584" t="s">
        <v>190</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25">
      <c r="X1585">
        <v>9</v>
      </c>
      <c r="Y1585" t="s">
        <v>709</v>
      </c>
      <c r="Z1585" t="s">
        <v>192</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25">
      <c r="X1586">
        <v>9</v>
      </c>
      <c r="Y1586" t="s">
        <v>774</v>
      </c>
      <c r="Z1586" t="s">
        <v>194</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25">
      <c r="X1587">
        <v>9</v>
      </c>
      <c r="Y1587" t="s">
        <v>775</v>
      </c>
      <c r="Z1587" t="s">
        <v>196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25">
      <c r="X1588">
        <v>9</v>
      </c>
      <c r="Y1588" t="s">
        <v>776</v>
      </c>
      <c r="Z1588" t="s">
        <v>605</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25">
      <c r="X1589">
        <v>9</v>
      </c>
      <c r="Y1589" t="s">
        <v>711</v>
      </c>
      <c r="Z1589" t="s">
        <v>200</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25">
      <c r="X1590">
        <v>9</v>
      </c>
      <c r="Y1590" t="s">
        <v>777</v>
      </c>
      <c r="Z1590" t="s">
        <v>202</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25">
      <c r="X1591">
        <v>9</v>
      </c>
      <c r="Y1591" t="s">
        <v>778</v>
      </c>
      <c r="Z1591" t="s">
        <v>204</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25">
      <c r="X1592">
        <v>9</v>
      </c>
      <c r="Y1592" t="s">
        <v>779</v>
      </c>
      <c r="Z1592" t="s">
        <v>605</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25">
      <c r="X1593">
        <v>9</v>
      </c>
      <c r="Y1593" t="s">
        <v>712</v>
      </c>
      <c r="Z1593" t="s">
        <v>780</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25">
      <c r="X1594">
        <v>9</v>
      </c>
      <c r="Y1594" t="s">
        <v>781</v>
      </c>
      <c r="Z1594" t="s">
        <v>782</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25">
      <c r="X1595">
        <v>9</v>
      </c>
      <c r="Y1595" t="s">
        <v>783</v>
      </c>
      <c r="Z1595" t="s">
        <v>784</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25">
      <c r="X1596">
        <v>9</v>
      </c>
      <c r="Y1596" t="s">
        <v>785</v>
      </c>
      <c r="Z1596" t="s">
        <v>786</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25">
      <c r="X1597">
        <v>9</v>
      </c>
      <c r="Y1597" t="s">
        <v>787</v>
      </c>
      <c r="Z1597" t="s">
        <v>633</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25">
      <c r="X1598">
        <v>9</v>
      </c>
      <c r="Y1598" t="s">
        <v>753</v>
      </c>
      <c r="Z1598" t="s">
        <v>162</v>
      </c>
      <c r="AA1598" t="str">
        <f>IF(OR(VLOOKUP(Table1[[#This Row],[sheet]],Prg!$A$7:$F$31,6,FALSE)=Prg!$O$2,VLOOKUP(Table1[[#This Row],[sheet]],Prg!$A$7:$F$31,6,FALSE)=Prg!$O$3),"Yes","No")</f>
        <v>No</v>
      </c>
      <c r="AB1598" t="s">
        <v>78</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25">
      <c r="X1599">
        <v>9</v>
      </c>
      <c r="Y1599" t="s">
        <v>754</v>
      </c>
      <c r="Z1599" t="s">
        <v>164</v>
      </c>
      <c r="AA1599" t="str">
        <f>IF(OR(VLOOKUP(Table1[[#This Row],[sheet]],Prg!$A$7:$F$31,6,FALSE)=Prg!$O$2,VLOOKUP(Table1[[#This Row],[sheet]],Prg!$A$7:$F$31,6,FALSE)=Prg!$O$3),"Yes","No")</f>
        <v>No</v>
      </c>
      <c r="AB1599" t="s">
        <v>78</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25">
      <c r="X1600">
        <v>9</v>
      </c>
      <c r="Y1600" t="s">
        <v>755</v>
      </c>
      <c r="Z1600" t="s">
        <v>166</v>
      </c>
      <c r="AA1600" t="str">
        <f>IF(OR(VLOOKUP(Table1[[#This Row],[sheet]],Prg!$A$7:$F$31,6,FALSE)=Prg!$O$2,VLOOKUP(Table1[[#This Row],[sheet]],Prg!$A$7:$F$31,6,FALSE)=Prg!$O$3),"Yes","No")</f>
        <v>No</v>
      </c>
      <c r="AB1600" t="s">
        <v>78</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25">
      <c r="X1601">
        <v>9</v>
      </c>
      <c r="Y1601" t="s">
        <v>756</v>
      </c>
      <c r="Z1601" t="s">
        <v>757</v>
      </c>
      <c r="AA1601" t="str">
        <f>IF(OR(VLOOKUP(Table1[[#This Row],[sheet]],Prg!$A$7:$F$31,6,FALSE)=Prg!$O$2,VLOOKUP(Table1[[#This Row],[sheet]],Prg!$A$7:$F$31,6,FALSE)=Prg!$O$3),"Yes","No")</f>
        <v>No</v>
      </c>
      <c r="AB1601" t="s">
        <v>78</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25">
      <c r="X1602">
        <v>9</v>
      </c>
      <c r="Y1602" t="s">
        <v>758</v>
      </c>
      <c r="Z1602" t="s">
        <v>170</v>
      </c>
      <c r="AA1602" t="str">
        <f>IF(OR(VLOOKUP(Table1[[#This Row],[sheet]],Prg!$A$7:$F$31,6,FALSE)=Prg!$O$2,VLOOKUP(Table1[[#This Row],[sheet]],Prg!$A$7:$F$31,6,FALSE)=Prg!$O$3),"Yes","No")</f>
        <v>No</v>
      </c>
      <c r="AB1602" t="s">
        <v>78</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25">
      <c r="X1603">
        <v>9</v>
      </c>
      <c r="Y1603" t="s">
        <v>759</v>
      </c>
      <c r="Z1603" t="s">
        <v>172</v>
      </c>
      <c r="AA1603" t="str">
        <f>IF(OR(VLOOKUP(Table1[[#This Row],[sheet]],Prg!$A$7:$F$31,6,FALSE)=Prg!$O$2,VLOOKUP(Table1[[#This Row],[sheet]],Prg!$A$7:$F$31,6,FALSE)=Prg!$O$3),"Yes","No")</f>
        <v>No</v>
      </c>
      <c r="AB1603" t="s">
        <v>78</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25">
      <c r="X1604">
        <v>9</v>
      </c>
      <c r="Y1604" t="s">
        <v>760</v>
      </c>
      <c r="Z1604" t="s">
        <v>174</v>
      </c>
      <c r="AA1604" t="str">
        <f>IF(OR(VLOOKUP(Table1[[#This Row],[sheet]],Prg!$A$7:$F$31,6,FALSE)=Prg!$O$2,VLOOKUP(Table1[[#This Row],[sheet]],Prg!$A$7:$F$31,6,FALSE)=Prg!$O$3),"Yes","No")</f>
        <v>No</v>
      </c>
      <c r="AB1604" t="s">
        <v>78</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25">
      <c r="X1605">
        <v>9</v>
      </c>
      <c r="Y1605" t="s">
        <v>761</v>
      </c>
      <c r="Z1605" t="s">
        <v>762</v>
      </c>
      <c r="AA1605" t="str">
        <f>IF(OR(VLOOKUP(Table1[[#This Row],[sheet]],Prg!$A$7:$F$31,6,FALSE)=Prg!$O$2,VLOOKUP(Table1[[#This Row],[sheet]],Prg!$A$7:$F$31,6,FALSE)=Prg!$O$3),"Yes","No")</f>
        <v>No</v>
      </c>
      <c r="AB1605" t="s">
        <v>78</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25">
      <c r="X1606">
        <v>9</v>
      </c>
      <c r="Y1606" t="s">
        <v>763</v>
      </c>
      <c r="Z1606" t="s">
        <v>178</v>
      </c>
      <c r="AA1606" t="str">
        <f>IF(OR(VLOOKUP(Table1[[#This Row],[sheet]],Prg!$A$7:$F$31,6,FALSE)=Prg!$O$2,VLOOKUP(Table1[[#This Row],[sheet]],Prg!$A$7:$F$31,6,FALSE)=Prg!$O$3),"Yes","No")</f>
        <v>No</v>
      </c>
      <c r="AB1606" t="s">
        <v>78</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25">
      <c r="X1607">
        <v>9</v>
      </c>
      <c r="Y1607" t="s">
        <v>764</v>
      </c>
      <c r="Z1607" t="s">
        <v>109</v>
      </c>
      <c r="AA1607" t="str">
        <f>IF(OR(VLOOKUP(Table1[[#This Row],[sheet]],Prg!$A$7:$F$31,6,FALSE)=Prg!$O$2,VLOOKUP(Table1[[#This Row],[sheet]],Prg!$A$7:$F$31,6,FALSE)=Prg!$O$3),"Yes","No")</f>
        <v>No</v>
      </c>
      <c r="AB1607" t="s">
        <v>78</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25">
      <c r="X1608">
        <v>9</v>
      </c>
      <c r="Y1608" t="s">
        <v>765</v>
      </c>
      <c r="Z1608" t="s">
        <v>117</v>
      </c>
      <c r="AA1608" t="str">
        <f>IF(OR(VLOOKUP(Table1[[#This Row],[sheet]],Prg!$A$7:$F$31,6,FALSE)=Prg!$O$2,VLOOKUP(Table1[[#This Row],[sheet]],Prg!$A$7:$F$31,6,FALSE)=Prg!$O$3),"Yes","No")</f>
        <v>No</v>
      </c>
      <c r="AB1608" t="s">
        <v>78</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25">
      <c r="X1609">
        <v>9</v>
      </c>
      <c r="Y1609" t="s">
        <v>766</v>
      </c>
      <c r="Z1609" t="s">
        <v>767</v>
      </c>
      <c r="AA1609" t="str">
        <f>IF(OR(VLOOKUP(Table1[[#This Row],[sheet]],Prg!$A$7:$F$31,6,FALSE)=Prg!$O$2,VLOOKUP(Table1[[#This Row],[sheet]],Prg!$A$7:$F$31,6,FALSE)=Prg!$O$3),"Yes","No")</f>
        <v>No</v>
      </c>
      <c r="AB1609" t="s">
        <v>78</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25">
      <c r="X1610">
        <v>9</v>
      </c>
      <c r="Y1610" t="s">
        <v>768</v>
      </c>
      <c r="Z1610" t="s">
        <v>182</v>
      </c>
      <c r="AA1610" t="str">
        <f>IF(OR(VLOOKUP(Table1[[#This Row],[sheet]],Prg!$A$7:$F$31,6,FALSE)=Prg!$O$2,VLOOKUP(Table1[[#This Row],[sheet]],Prg!$A$7:$F$31,6,FALSE)=Prg!$O$3),"Yes","No")</f>
        <v>No</v>
      </c>
      <c r="AB1610" t="s">
        <v>78</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25">
      <c r="X1611">
        <v>9</v>
      </c>
      <c r="Y1611" t="s">
        <v>769</v>
      </c>
      <c r="Z1611" t="s">
        <v>184</v>
      </c>
      <c r="AA1611" t="str">
        <f>IF(OR(VLOOKUP(Table1[[#This Row],[sheet]],Prg!$A$7:$F$31,6,FALSE)=Prg!$O$2,VLOOKUP(Table1[[#This Row],[sheet]],Prg!$A$7:$F$31,6,FALSE)=Prg!$O$3),"Yes","No")</f>
        <v>No</v>
      </c>
      <c r="AB1611" t="s">
        <v>78</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25">
      <c r="X1612">
        <v>9</v>
      </c>
      <c r="Y1612" t="s">
        <v>770</v>
      </c>
      <c r="Z1612" t="s">
        <v>186</v>
      </c>
      <c r="AA1612" t="str">
        <f>IF(OR(VLOOKUP(Table1[[#This Row],[sheet]],Prg!$A$7:$F$31,6,FALSE)=Prg!$O$2,VLOOKUP(Table1[[#This Row],[sheet]],Prg!$A$7:$F$31,6,FALSE)=Prg!$O$3),"Yes","No")</f>
        <v>No</v>
      </c>
      <c r="AB1612" t="s">
        <v>78</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25">
      <c r="X1613">
        <v>9</v>
      </c>
      <c r="Y1613" t="s">
        <v>771</v>
      </c>
      <c r="Z1613" t="s">
        <v>772</v>
      </c>
      <c r="AA1613" t="str">
        <f>IF(OR(VLOOKUP(Table1[[#This Row],[sheet]],Prg!$A$7:$F$31,6,FALSE)=Prg!$O$2,VLOOKUP(Table1[[#This Row],[sheet]],Prg!$A$7:$F$31,6,FALSE)=Prg!$O$3),"Yes","No")</f>
        <v>No</v>
      </c>
      <c r="AB1613" t="s">
        <v>78</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25">
      <c r="X1614">
        <v>9</v>
      </c>
      <c r="Y1614" t="s">
        <v>773</v>
      </c>
      <c r="Z1614" t="s">
        <v>190</v>
      </c>
      <c r="AA1614" t="str">
        <f>IF(OR(VLOOKUP(Table1[[#This Row],[sheet]],Prg!$A$7:$F$31,6,FALSE)=Prg!$O$2,VLOOKUP(Table1[[#This Row],[sheet]],Prg!$A$7:$F$31,6,FALSE)=Prg!$O$3),"Yes","No")</f>
        <v>No</v>
      </c>
      <c r="AB1614" t="s">
        <v>78</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25">
      <c r="X1615">
        <v>9</v>
      </c>
      <c r="Y1615" t="s">
        <v>709</v>
      </c>
      <c r="Z1615" t="s">
        <v>192</v>
      </c>
      <c r="AA1615" t="str">
        <f>IF(OR(VLOOKUP(Table1[[#This Row],[sheet]],Prg!$A$7:$F$31,6,FALSE)=Prg!$O$2,VLOOKUP(Table1[[#This Row],[sheet]],Prg!$A$7:$F$31,6,FALSE)=Prg!$O$3),"Yes","No")</f>
        <v>No</v>
      </c>
      <c r="AB1615" t="s">
        <v>78</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25">
      <c r="X1616">
        <v>9</v>
      </c>
      <c r="Y1616" t="s">
        <v>774</v>
      </c>
      <c r="Z1616" t="s">
        <v>194</v>
      </c>
      <c r="AA1616" t="str">
        <f>IF(OR(VLOOKUP(Table1[[#This Row],[sheet]],Prg!$A$7:$F$31,6,FALSE)=Prg!$O$2,VLOOKUP(Table1[[#This Row],[sheet]],Prg!$A$7:$F$31,6,FALSE)=Prg!$O$3),"Yes","No")</f>
        <v>No</v>
      </c>
      <c r="AB1616" t="s">
        <v>78</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25">
      <c r="X1617">
        <v>9</v>
      </c>
      <c r="Y1617" t="s">
        <v>775</v>
      </c>
      <c r="Z1617" t="s">
        <v>196</v>
      </c>
      <c r="AA1617" t="str">
        <f>IF(OR(VLOOKUP(Table1[[#This Row],[sheet]],Prg!$A$7:$F$31,6,FALSE)=Prg!$O$2,VLOOKUP(Table1[[#This Row],[sheet]],Prg!$A$7:$F$31,6,FALSE)=Prg!$O$3),"Yes","No")</f>
        <v>No</v>
      </c>
      <c r="AB1617" t="s">
        <v>78</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25">
      <c r="X1618">
        <v>9</v>
      </c>
      <c r="Y1618" t="s">
        <v>776</v>
      </c>
      <c r="Z1618" t="s">
        <v>605</v>
      </c>
      <c r="AA1618" t="str">
        <f>IF(OR(VLOOKUP(Table1[[#This Row],[sheet]],Prg!$A$7:$F$31,6,FALSE)=Prg!$O$2,VLOOKUP(Table1[[#This Row],[sheet]],Prg!$A$7:$F$31,6,FALSE)=Prg!$O$3),"Yes","No")</f>
        <v>No</v>
      </c>
      <c r="AB1618" t="s">
        <v>78</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25">
      <c r="X1619">
        <v>9</v>
      </c>
      <c r="Y1619" t="s">
        <v>711</v>
      </c>
      <c r="Z1619" t="s">
        <v>200</v>
      </c>
      <c r="AA1619" t="str">
        <f>IF(OR(VLOOKUP(Table1[[#This Row],[sheet]],Prg!$A$7:$F$31,6,FALSE)=Prg!$O$2,VLOOKUP(Table1[[#This Row],[sheet]],Prg!$A$7:$F$31,6,FALSE)=Prg!$O$3),"Yes","No")</f>
        <v>No</v>
      </c>
      <c r="AB1619" t="s">
        <v>78</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25">
      <c r="X1620">
        <v>9</v>
      </c>
      <c r="Y1620" t="s">
        <v>777</v>
      </c>
      <c r="Z1620" t="s">
        <v>202</v>
      </c>
      <c r="AA1620" t="str">
        <f>IF(OR(VLOOKUP(Table1[[#This Row],[sheet]],Prg!$A$7:$F$31,6,FALSE)=Prg!$O$2,VLOOKUP(Table1[[#This Row],[sheet]],Prg!$A$7:$F$31,6,FALSE)=Prg!$O$3),"Yes","No")</f>
        <v>No</v>
      </c>
      <c r="AB1620" t="s">
        <v>78</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25">
      <c r="X1621">
        <v>9</v>
      </c>
      <c r="Y1621" t="s">
        <v>778</v>
      </c>
      <c r="Z1621" t="s">
        <v>204</v>
      </c>
      <c r="AA1621" t="str">
        <f>IF(OR(VLOOKUP(Table1[[#This Row],[sheet]],Prg!$A$7:$F$31,6,FALSE)=Prg!$O$2,VLOOKUP(Table1[[#This Row],[sheet]],Prg!$A$7:$F$31,6,FALSE)=Prg!$O$3),"Yes","No")</f>
        <v>No</v>
      </c>
      <c r="AB1621" t="s">
        <v>78</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25">
      <c r="X1622">
        <v>9</v>
      </c>
      <c r="Y1622" t="s">
        <v>779</v>
      </c>
      <c r="Z1622" t="s">
        <v>605</v>
      </c>
      <c r="AA1622" t="str">
        <f>IF(OR(VLOOKUP(Table1[[#This Row],[sheet]],Prg!$A$7:$F$31,6,FALSE)=Prg!$O$2,VLOOKUP(Table1[[#This Row],[sheet]],Prg!$A$7:$F$31,6,FALSE)=Prg!$O$3),"Yes","No")</f>
        <v>No</v>
      </c>
      <c r="AB1622" t="s">
        <v>78</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25">
      <c r="X1623">
        <v>9</v>
      </c>
      <c r="Y1623" t="s">
        <v>712</v>
      </c>
      <c r="Z1623" t="s">
        <v>780</v>
      </c>
      <c r="AA1623" t="str">
        <f>IF(OR(VLOOKUP(Table1[[#This Row],[sheet]],Prg!$A$7:$F$31,6,FALSE)=Prg!$O$2,VLOOKUP(Table1[[#This Row],[sheet]],Prg!$A$7:$F$31,6,FALSE)=Prg!$O$3),"Yes","No")</f>
        <v>No</v>
      </c>
      <c r="AB1623" t="s">
        <v>78</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25">
      <c r="X1624">
        <v>9</v>
      </c>
      <c r="Y1624" t="s">
        <v>781</v>
      </c>
      <c r="Z1624" t="s">
        <v>782</v>
      </c>
      <c r="AA1624" t="str">
        <f>IF(OR(VLOOKUP(Table1[[#This Row],[sheet]],Prg!$A$7:$F$31,6,FALSE)=Prg!$O$2,VLOOKUP(Table1[[#This Row],[sheet]],Prg!$A$7:$F$31,6,FALSE)=Prg!$O$3),"Yes","No")</f>
        <v>No</v>
      </c>
      <c r="AB1624" t="s">
        <v>78</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25">
      <c r="X1625">
        <v>9</v>
      </c>
      <c r="Y1625" t="s">
        <v>783</v>
      </c>
      <c r="Z1625" t="s">
        <v>784</v>
      </c>
      <c r="AA1625" t="str">
        <f>IF(OR(VLOOKUP(Table1[[#This Row],[sheet]],Prg!$A$7:$F$31,6,FALSE)=Prg!$O$2,VLOOKUP(Table1[[#This Row],[sheet]],Prg!$A$7:$F$31,6,FALSE)=Prg!$O$3),"Yes","No")</f>
        <v>No</v>
      </c>
      <c r="AB1625" t="s">
        <v>78</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25">
      <c r="X1626">
        <v>9</v>
      </c>
      <c r="Y1626" t="s">
        <v>785</v>
      </c>
      <c r="Z1626" t="s">
        <v>786</v>
      </c>
      <c r="AA1626" t="str">
        <f>IF(OR(VLOOKUP(Table1[[#This Row],[sheet]],Prg!$A$7:$F$31,6,FALSE)=Prg!$O$2,VLOOKUP(Table1[[#This Row],[sheet]],Prg!$A$7:$F$31,6,FALSE)=Prg!$O$3),"Yes","No")</f>
        <v>No</v>
      </c>
      <c r="AB1626" t="s">
        <v>78</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25">
      <c r="X1627">
        <v>9</v>
      </c>
      <c r="Y1627" t="s">
        <v>787</v>
      </c>
      <c r="Z1627" t="s">
        <v>633</v>
      </c>
      <c r="AA1627" t="str">
        <f>IF(OR(VLOOKUP(Table1[[#This Row],[sheet]],Prg!$A$7:$F$31,6,FALSE)=Prg!$O$2,VLOOKUP(Table1[[#This Row],[sheet]],Prg!$A$7:$F$31,6,FALSE)=Prg!$O$3),"Yes","No")</f>
        <v>No</v>
      </c>
      <c r="AB1627" t="s">
        <v>78</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25">
      <c r="X1628">
        <v>10</v>
      </c>
      <c r="Y1628" t="s">
        <v>753</v>
      </c>
      <c r="Z1628" t="s">
        <v>162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25">
      <c r="X1629">
        <v>10</v>
      </c>
      <c r="Y1629" t="s">
        <v>754</v>
      </c>
      <c r="Z1629" t="s">
        <v>164</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25">
      <c r="X1630">
        <v>10</v>
      </c>
      <c r="Y1630" t="s">
        <v>755</v>
      </c>
      <c r="Z1630" t="s">
        <v>166</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25">
      <c r="X1631">
        <v>10</v>
      </c>
      <c r="Y1631" t="s">
        <v>756</v>
      </c>
      <c r="Z1631" t="s">
        <v>757</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25">
      <c r="X1632">
        <v>10</v>
      </c>
      <c r="Y1632" t="s">
        <v>758</v>
      </c>
      <c r="Z1632" t="s">
        <v>170</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25">
      <c r="X1633">
        <v>10</v>
      </c>
      <c r="Y1633" t="s">
        <v>759</v>
      </c>
      <c r="Z1633" t="s">
        <v>172</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25">
      <c r="X1634">
        <v>10</v>
      </c>
      <c r="Y1634" t="s">
        <v>760</v>
      </c>
      <c r="Z1634" t="s">
        <v>174</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25">
      <c r="X1635">
        <v>10</v>
      </c>
      <c r="Y1635" t="s">
        <v>761</v>
      </c>
      <c r="Z1635" t="s">
        <v>762</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25">
      <c r="X1636">
        <v>10</v>
      </c>
      <c r="Y1636" t="s">
        <v>763</v>
      </c>
      <c r="Z1636" t="s">
        <v>178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25">
      <c r="X1637">
        <v>10</v>
      </c>
      <c r="Y1637" t="s">
        <v>764</v>
      </c>
      <c r="Z1637" t="s">
        <v>109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25">
      <c r="X1638">
        <v>10</v>
      </c>
      <c r="Y1638" t="s">
        <v>765</v>
      </c>
      <c r="Z1638" t="s">
        <v>117</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25">
      <c r="X1639">
        <v>10</v>
      </c>
      <c r="Y1639" t="s">
        <v>766</v>
      </c>
      <c r="Z1639" t="s">
        <v>767</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25">
      <c r="X1640">
        <v>10</v>
      </c>
      <c r="Y1640" t="s">
        <v>768</v>
      </c>
      <c r="Z1640" t="s">
        <v>182</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25">
      <c r="X1641">
        <v>10</v>
      </c>
      <c r="Y1641" t="s">
        <v>769</v>
      </c>
      <c r="Z1641" t="s">
        <v>184</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25">
      <c r="X1642">
        <v>10</v>
      </c>
      <c r="Y1642" t="s">
        <v>770</v>
      </c>
      <c r="Z1642" t="s">
        <v>186</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25">
      <c r="X1643">
        <v>10</v>
      </c>
      <c r="Y1643" t="s">
        <v>771</v>
      </c>
      <c r="Z1643" t="s">
        <v>772</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25">
      <c r="X1644">
        <v>10</v>
      </c>
      <c r="Y1644" t="s">
        <v>773</v>
      </c>
      <c r="Z1644" t="s">
        <v>190</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25">
      <c r="X1645">
        <v>10</v>
      </c>
      <c r="Y1645" t="s">
        <v>709</v>
      </c>
      <c r="Z1645" t="s">
        <v>192</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25">
      <c r="X1646">
        <v>10</v>
      </c>
      <c r="Y1646" t="s">
        <v>774</v>
      </c>
      <c r="Z1646" t="s">
        <v>194</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25">
      <c r="X1647">
        <v>10</v>
      </c>
      <c r="Y1647" t="s">
        <v>775</v>
      </c>
      <c r="Z1647" t="s">
        <v>196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25">
      <c r="X1648">
        <v>10</v>
      </c>
      <c r="Y1648" t="s">
        <v>776</v>
      </c>
      <c r="Z1648" t="s">
        <v>605</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25">
      <c r="X1649">
        <v>10</v>
      </c>
      <c r="Y1649" t="s">
        <v>711</v>
      </c>
      <c r="Z1649" t="s">
        <v>200</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25">
      <c r="X1650">
        <v>10</v>
      </c>
      <c r="Y1650" t="s">
        <v>777</v>
      </c>
      <c r="Z1650" t="s">
        <v>202</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25">
      <c r="X1651">
        <v>10</v>
      </c>
      <c r="Y1651" t="s">
        <v>778</v>
      </c>
      <c r="Z1651" t="s">
        <v>204</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25">
      <c r="X1652">
        <v>10</v>
      </c>
      <c r="Y1652" t="s">
        <v>779</v>
      </c>
      <c r="Z1652" t="s">
        <v>605</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25">
      <c r="X1653">
        <v>10</v>
      </c>
      <c r="Y1653" t="s">
        <v>712</v>
      </c>
      <c r="Z1653" t="s">
        <v>780</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25">
      <c r="X1654">
        <v>10</v>
      </c>
      <c r="Y1654" t="s">
        <v>781</v>
      </c>
      <c r="Z1654" t="s">
        <v>782</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25">
      <c r="X1655">
        <v>10</v>
      </c>
      <c r="Y1655" t="s">
        <v>783</v>
      </c>
      <c r="Z1655" t="s">
        <v>784</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25">
      <c r="X1656">
        <v>10</v>
      </c>
      <c r="Y1656" t="s">
        <v>785</v>
      </c>
      <c r="Z1656" t="s">
        <v>786</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25">
      <c r="X1657">
        <v>10</v>
      </c>
      <c r="Y1657" t="s">
        <v>787</v>
      </c>
      <c r="Z1657" t="s">
        <v>633</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25">
      <c r="X1658">
        <v>10</v>
      </c>
      <c r="Y1658" t="s">
        <v>753</v>
      </c>
      <c r="Z1658" t="s">
        <v>162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25">
      <c r="X1659">
        <v>10</v>
      </c>
      <c r="Y1659" t="s">
        <v>754</v>
      </c>
      <c r="Z1659" t="s">
        <v>164</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25">
      <c r="X1660">
        <v>10</v>
      </c>
      <c r="Y1660" t="s">
        <v>755</v>
      </c>
      <c r="Z1660" t="s">
        <v>166</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25">
      <c r="X1661">
        <v>10</v>
      </c>
      <c r="Y1661" t="s">
        <v>756</v>
      </c>
      <c r="Z1661" t="s">
        <v>757</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25">
      <c r="X1662">
        <v>10</v>
      </c>
      <c r="Y1662" t="s">
        <v>758</v>
      </c>
      <c r="Z1662" t="s">
        <v>170</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25">
      <c r="X1663">
        <v>10</v>
      </c>
      <c r="Y1663" t="s">
        <v>759</v>
      </c>
      <c r="Z1663" t="s">
        <v>172</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25">
      <c r="X1664">
        <v>10</v>
      </c>
      <c r="Y1664" t="s">
        <v>760</v>
      </c>
      <c r="Z1664" t="s">
        <v>174</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25">
      <c r="X1665">
        <v>10</v>
      </c>
      <c r="Y1665" t="s">
        <v>761</v>
      </c>
      <c r="Z1665" t="s">
        <v>762</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25">
      <c r="X1666">
        <v>10</v>
      </c>
      <c r="Y1666" t="s">
        <v>763</v>
      </c>
      <c r="Z1666" t="s">
        <v>178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25">
      <c r="X1667">
        <v>10</v>
      </c>
      <c r="Y1667" t="s">
        <v>764</v>
      </c>
      <c r="Z1667" t="s">
        <v>109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25">
      <c r="X1668">
        <v>10</v>
      </c>
      <c r="Y1668" t="s">
        <v>765</v>
      </c>
      <c r="Z1668" t="s">
        <v>117</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25">
      <c r="X1669">
        <v>10</v>
      </c>
      <c r="Y1669" t="s">
        <v>766</v>
      </c>
      <c r="Z1669" t="s">
        <v>767</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25">
      <c r="X1670">
        <v>10</v>
      </c>
      <c r="Y1670" t="s">
        <v>768</v>
      </c>
      <c r="Z1670" t="s">
        <v>182</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25">
      <c r="X1671">
        <v>10</v>
      </c>
      <c r="Y1671" t="s">
        <v>769</v>
      </c>
      <c r="Z1671" t="s">
        <v>184</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25">
      <c r="X1672">
        <v>10</v>
      </c>
      <c r="Y1672" t="s">
        <v>770</v>
      </c>
      <c r="Z1672" t="s">
        <v>186</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25">
      <c r="X1673">
        <v>10</v>
      </c>
      <c r="Y1673" t="s">
        <v>771</v>
      </c>
      <c r="Z1673" t="s">
        <v>772</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25">
      <c r="X1674">
        <v>10</v>
      </c>
      <c r="Y1674" t="s">
        <v>773</v>
      </c>
      <c r="Z1674" t="s">
        <v>190</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25">
      <c r="X1675">
        <v>10</v>
      </c>
      <c r="Y1675" t="s">
        <v>709</v>
      </c>
      <c r="Z1675" t="s">
        <v>192</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25">
      <c r="X1676">
        <v>10</v>
      </c>
      <c r="Y1676" t="s">
        <v>774</v>
      </c>
      <c r="Z1676" t="s">
        <v>194</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25">
      <c r="X1677">
        <v>10</v>
      </c>
      <c r="Y1677" t="s">
        <v>775</v>
      </c>
      <c r="Z1677" t="s">
        <v>196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25">
      <c r="X1678">
        <v>10</v>
      </c>
      <c r="Y1678" t="s">
        <v>776</v>
      </c>
      <c r="Z1678" t="s">
        <v>605</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25">
      <c r="X1679">
        <v>10</v>
      </c>
      <c r="Y1679" t="s">
        <v>711</v>
      </c>
      <c r="Z1679" t="s">
        <v>200</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25">
      <c r="X1680">
        <v>10</v>
      </c>
      <c r="Y1680" t="s">
        <v>777</v>
      </c>
      <c r="Z1680" t="s">
        <v>202</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25">
      <c r="X1681">
        <v>10</v>
      </c>
      <c r="Y1681" t="s">
        <v>778</v>
      </c>
      <c r="Z1681" t="s">
        <v>204</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25">
      <c r="X1682">
        <v>10</v>
      </c>
      <c r="Y1682" t="s">
        <v>779</v>
      </c>
      <c r="Z1682" t="s">
        <v>605</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25">
      <c r="X1683">
        <v>10</v>
      </c>
      <c r="Y1683" t="s">
        <v>712</v>
      </c>
      <c r="Z1683" t="s">
        <v>780</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25">
      <c r="X1684">
        <v>10</v>
      </c>
      <c r="Y1684" t="s">
        <v>781</v>
      </c>
      <c r="Z1684" t="s">
        <v>782</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25">
      <c r="X1685">
        <v>10</v>
      </c>
      <c r="Y1685" t="s">
        <v>783</v>
      </c>
      <c r="Z1685" t="s">
        <v>784</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25">
      <c r="X1686">
        <v>10</v>
      </c>
      <c r="Y1686" t="s">
        <v>785</v>
      </c>
      <c r="Z1686" t="s">
        <v>786</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25">
      <c r="X1687">
        <v>10</v>
      </c>
      <c r="Y1687" t="s">
        <v>787</v>
      </c>
      <c r="Z1687" t="s">
        <v>633</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25">
      <c r="X1688">
        <v>10</v>
      </c>
      <c r="Y1688" t="s">
        <v>753</v>
      </c>
      <c r="Z1688" t="s">
        <v>162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25">
      <c r="X1689">
        <v>10</v>
      </c>
      <c r="Y1689" t="s">
        <v>754</v>
      </c>
      <c r="Z1689" t="s">
        <v>164</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25">
      <c r="X1690">
        <v>10</v>
      </c>
      <c r="Y1690" t="s">
        <v>755</v>
      </c>
      <c r="Z1690" t="s">
        <v>166</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25">
      <c r="X1691">
        <v>10</v>
      </c>
      <c r="Y1691" t="s">
        <v>756</v>
      </c>
      <c r="Z1691" t="s">
        <v>757</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25">
      <c r="X1692">
        <v>10</v>
      </c>
      <c r="Y1692" t="s">
        <v>758</v>
      </c>
      <c r="Z1692" t="s">
        <v>170</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25">
      <c r="X1693">
        <v>10</v>
      </c>
      <c r="Y1693" t="s">
        <v>759</v>
      </c>
      <c r="Z1693" t="s">
        <v>172</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25">
      <c r="X1694">
        <v>10</v>
      </c>
      <c r="Y1694" t="s">
        <v>760</v>
      </c>
      <c r="Z1694" t="s">
        <v>174</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25">
      <c r="X1695">
        <v>10</v>
      </c>
      <c r="Y1695" t="s">
        <v>761</v>
      </c>
      <c r="Z1695" t="s">
        <v>762</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25">
      <c r="X1696">
        <v>10</v>
      </c>
      <c r="Y1696" t="s">
        <v>763</v>
      </c>
      <c r="Z1696" t="s">
        <v>178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25">
      <c r="X1697">
        <v>10</v>
      </c>
      <c r="Y1697" t="s">
        <v>764</v>
      </c>
      <c r="Z1697" t="s">
        <v>109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25">
      <c r="X1698">
        <v>10</v>
      </c>
      <c r="Y1698" t="s">
        <v>765</v>
      </c>
      <c r="Z1698" t="s">
        <v>117</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25">
      <c r="X1699">
        <v>10</v>
      </c>
      <c r="Y1699" t="s">
        <v>766</v>
      </c>
      <c r="Z1699" t="s">
        <v>767</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25">
      <c r="X1700">
        <v>10</v>
      </c>
      <c r="Y1700" t="s">
        <v>768</v>
      </c>
      <c r="Z1700" t="s">
        <v>182</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25">
      <c r="X1701">
        <v>10</v>
      </c>
      <c r="Y1701" t="s">
        <v>769</v>
      </c>
      <c r="Z1701" t="s">
        <v>184</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25">
      <c r="X1702">
        <v>10</v>
      </c>
      <c r="Y1702" t="s">
        <v>770</v>
      </c>
      <c r="Z1702" t="s">
        <v>186</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25">
      <c r="X1703">
        <v>10</v>
      </c>
      <c r="Y1703" t="s">
        <v>771</v>
      </c>
      <c r="Z1703" t="s">
        <v>772</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25">
      <c r="X1704">
        <v>10</v>
      </c>
      <c r="Y1704" t="s">
        <v>773</v>
      </c>
      <c r="Z1704" t="s">
        <v>190</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25">
      <c r="X1705">
        <v>10</v>
      </c>
      <c r="Y1705" t="s">
        <v>709</v>
      </c>
      <c r="Z1705" t="s">
        <v>192</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25">
      <c r="X1706">
        <v>10</v>
      </c>
      <c r="Y1706" t="s">
        <v>774</v>
      </c>
      <c r="Z1706" t="s">
        <v>194</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25">
      <c r="X1707">
        <v>10</v>
      </c>
      <c r="Y1707" t="s">
        <v>775</v>
      </c>
      <c r="Z1707" t="s">
        <v>196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25">
      <c r="X1708">
        <v>10</v>
      </c>
      <c r="Y1708" t="s">
        <v>776</v>
      </c>
      <c r="Z1708" t="s">
        <v>605</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25">
      <c r="X1709">
        <v>10</v>
      </c>
      <c r="Y1709" t="s">
        <v>711</v>
      </c>
      <c r="Z1709" t="s">
        <v>200</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25">
      <c r="X1710">
        <v>10</v>
      </c>
      <c r="Y1710" t="s">
        <v>777</v>
      </c>
      <c r="Z1710" t="s">
        <v>202</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25">
      <c r="X1711">
        <v>10</v>
      </c>
      <c r="Y1711" t="s">
        <v>778</v>
      </c>
      <c r="Z1711" t="s">
        <v>204</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25">
      <c r="X1712">
        <v>10</v>
      </c>
      <c r="Y1712" t="s">
        <v>779</v>
      </c>
      <c r="Z1712" t="s">
        <v>605</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25">
      <c r="X1713">
        <v>10</v>
      </c>
      <c r="Y1713" t="s">
        <v>712</v>
      </c>
      <c r="Z1713" t="s">
        <v>780</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25">
      <c r="X1714">
        <v>10</v>
      </c>
      <c r="Y1714" t="s">
        <v>781</v>
      </c>
      <c r="Z1714" t="s">
        <v>782</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25">
      <c r="X1715">
        <v>10</v>
      </c>
      <c r="Y1715" t="s">
        <v>783</v>
      </c>
      <c r="Z1715" t="s">
        <v>784</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25">
      <c r="X1716">
        <v>10</v>
      </c>
      <c r="Y1716" t="s">
        <v>785</v>
      </c>
      <c r="Z1716" t="s">
        <v>786</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25">
      <c r="X1717">
        <v>10</v>
      </c>
      <c r="Y1717" t="s">
        <v>787</v>
      </c>
      <c r="Z1717" t="s">
        <v>633</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25">
      <c r="X1718">
        <v>10</v>
      </c>
      <c r="Y1718" t="s">
        <v>753</v>
      </c>
      <c r="Z1718" t="s">
        <v>162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25">
      <c r="X1719">
        <v>10</v>
      </c>
      <c r="Y1719" t="s">
        <v>754</v>
      </c>
      <c r="Z1719" t="s">
        <v>164</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25">
      <c r="X1720">
        <v>10</v>
      </c>
      <c r="Y1720" t="s">
        <v>755</v>
      </c>
      <c r="Z1720" t="s">
        <v>166</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25">
      <c r="X1721">
        <v>10</v>
      </c>
      <c r="Y1721" t="s">
        <v>756</v>
      </c>
      <c r="Z1721" t="s">
        <v>757</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25">
      <c r="X1722">
        <v>10</v>
      </c>
      <c r="Y1722" t="s">
        <v>758</v>
      </c>
      <c r="Z1722" t="s">
        <v>170</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25">
      <c r="X1723">
        <v>10</v>
      </c>
      <c r="Y1723" t="s">
        <v>759</v>
      </c>
      <c r="Z1723" t="s">
        <v>172</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25">
      <c r="X1724">
        <v>10</v>
      </c>
      <c r="Y1724" t="s">
        <v>760</v>
      </c>
      <c r="Z1724" t="s">
        <v>174</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25">
      <c r="X1725">
        <v>10</v>
      </c>
      <c r="Y1725" t="s">
        <v>761</v>
      </c>
      <c r="Z1725" t="s">
        <v>762</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25">
      <c r="X1726">
        <v>10</v>
      </c>
      <c r="Y1726" t="s">
        <v>763</v>
      </c>
      <c r="Z1726" t="s">
        <v>178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25">
      <c r="X1727">
        <v>10</v>
      </c>
      <c r="Y1727" t="s">
        <v>764</v>
      </c>
      <c r="Z1727" t="s">
        <v>109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25">
      <c r="X1728">
        <v>10</v>
      </c>
      <c r="Y1728" t="s">
        <v>765</v>
      </c>
      <c r="Z1728" t="s">
        <v>117</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25">
      <c r="X1729">
        <v>10</v>
      </c>
      <c r="Y1729" t="s">
        <v>766</v>
      </c>
      <c r="Z1729" t="s">
        <v>767</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25">
      <c r="X1730">
        <v>10</v>
      </c>
      <c r="Y1730" t="s">
        <v>768</v>
      </c>
      <c r="Z1730" t="s">
        <v>182</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25">
      <c r="X1731">
        <v>10</v>
      </c>
      <c r="Y1731" t="s">
        <v>769</v>
      </c>
      <c r="Z1731" t="s">
        <v>184</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25">
      <c r="X1732">
        <v>10</v>
      </c>
      <c r="Y1732" t="s">
        <v>770</v>
      </c>
      <c r="Z1732" t="s">
        <v>186</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25">
      <c r="X1733">
        <v>10</v>
      </c>
      <c r="Y1733" t="s">
        <v>771</v>
      </c>
      <c r="Z1733" t="s">
        <v>772</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25">
      <c r="X1734">
        <v>10</v>
      </c>
      <c r="Y1734" t="s">
        <v>773</v>
      </c>
      <c r="Z1734" t="s">
        <v>190</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25">
      <c r="X1735">
        <v>10</v>
      </c>
      <c r="Y1735" t="s">
        <v>709</v>
      </c>
      <c r="Z1735" t="s">
        <v>192</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25">
      <c r="X1736">
        <v>10</v>
      </c>
      <c r="Y1736" t="s">
        <v>774</v>
      </c>
      <c r="Z1736" t="s">
        <v>194</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25">
      <c r="X1737">
        <v>10</v>
      </c>
      <c r="Y1737" t="s">
        <v>775</v>
      </c>
      <c r="Z1737" t="s">
        <v>196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25">
      <c r="X1738">
        <v>10</v>
      </c>
      <c r="Y1738" t="s">
        <v>776</v>
      </c>
      <c r="Z1738" t="s">
        <v>605</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25">
      <c r="X1739">
        <v>10</v>
      </c>
      <c r="Y1739" t="s">
        <v>711</v>
      </c>
      <c r="Z1739" t="s">
        <v>200</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25">
      <c r="X1740">
        <v>10</v>
      </c>
      <c r="Y1740" t="s">
        <v>777</v>
      </c>
      <c r="Z1740" t="s">
        <v>202</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25">
      <c r="X1741">
        <v>10</v>
      </c>
      <c r="Y1741" t="s">
        <v>778</v>
      </c>
      <c r="Z1741" t="s">
        <v>204</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25">
      <c r="X1742">
        <v>10</v>
      </c>
      <c r="Y1742" t="s">
        <v>779</v>
      </c>
      <c r="Z1742" t="s">
        <v>605</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25">
      <c r="X1743">
        <v>10</v>
      </c>
      <c r="Y1743" t="s">
        <v>712</v>
      </c>
      <c r="Z1743" t="s">
        <v>780</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25">
      <c r="X1744">
        <v>10</v>
      </c>
      <c r="Y1744" t="s">
        <v>781</v>
      </c>
      <c r="Z1744" t="s">
        <v>782</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25">
      <c r="X1745">
        <v>10</v>
      </c>
      <c r="Y1745" t="s">
        <v>783</v>
      </c>
      <c r="Z1745" t="s">
        <v>784</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25">
      <c r="X1746">
        <v>10</v>
      </c>
      <c r="Y1746" t="s">
        <v>785</v>
      </c>
      <c r="Z1746" t="s">
        <v>786</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25">
      <c r="X1747">
        <v>10</v>
      </c>
      <c r="Y1747" t="s">
        <v>787</v>
      </c>
      <c r="Z1747" t="s">
        <v>633</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25">
      <c r="X1748">
        <v>10</v>
      </c>
      <c r="Y1748" t="s">
        <v>753</v>
      </c>
      <c r="Z1748" t="s">
        <v>162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25">
      <c r="X1749">
        <v>10</v>
      </c>
      <c r="Y1749" t="s">
        <v>754</v>
      </c>
      <c r="Z1749" t="s">
        <v>164</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25">
      <c r="X1750">
        <v>10</v>
      </c>
      <c r="Y1750" t="s">
        <v>755</v>
      </c>
      <c r="Z1750" t="s">
        <v>166</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25">
      <c r="X1751">
        <v>10</v>
      </c>
      <c r="Y1751" t="s">
        <v>756</v>
      </c>
      <c r="Z1751" t="s">
        <v>757</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25">
      <c r="X1752">
        <v>10</v>
      </c>
      <c r="Y1752" t="s">
        <v>758</v>
      </c>
      <c r="Z1752" t="s">
        <v>170</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25">
      <c r="X1753">
        <v>10</v>
      </c>
      <c r="Y1753" t="s">
        <v>759</v>
      </c>
      <c r="Z1753" t="s">
        <v>172</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25">
      <c r="X1754">
        <v>10</v>
      </c>
      <c r="Y1754" t="s">
        <v>760</v>
      </c>
      <c r="Z1754" t="s">
        <v>174</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25">
      <c r="X1755">
        <v>10</v>
      </c>
      <c r="Y1755" t="s">
        <v>761</v>
      </c>
      <c r="Z1755" t="s">
        <v>762</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25">
      <c r="X1756">
        <v>10</v>
      </c>
      <c r="Y1756" t="s">
        <v>763</v>
      </c>
      <c r="Z1756" t="s">
        <v>178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25">
      <c r="X1757">
        <v>10</v>
      </c>
      <c r="Y1757" t="s">
        <v>764</v>
      </c>
      <c r="Z1757" t="s">
        <v>109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25">
      <c r="X1758">
        <v>10</v>
      </c>
      <c r="Y1758" t="s">
        <v>765</v>
      </c>
      <c r="Z1758" t="s">
        <v>117</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25">
      <c r="X1759">
        <v>10</v>
      </c>
      <c r="Y1759" t="s">
        <v>766</v>
      </c>
      <c r="Z1759" t="s">
        <v>767</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25">
      <c r="X1760">
        <v>10</v>
      </c>
      <c r="Y1760" t="s">
        <v>768</v>
      </c>
      <c r="Z1760" t="s">
        <v>182</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25">
      <c r="X1761">
        <v>10</v>
      </c>
      <c r="Y1761" t="s">
        <v>769</v>
      </c>
      <c r="Z1761" t="s">
        <v>184</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25">
      <c r="X1762">
        <v>10</v>
      </c>
      <c r="Y1762" t="s">
        <v>770</v>
      </c>
      <c r="Z1762" t="s">
        <v>186</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25">
      <c r="X1763">
        <v>10</v>
      </c>
      <c r="Y1763" t="s">
        <v>771</v>
      </c>
      <c r="Z1763" t="s">
        <v>772</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25">
      <c r="X1764">
        <v>10</v>
      </c>
      <c r="Y1764" t="s">
        <v>773</v>
      </c>
      <c r="Z1764" t="s">
        <v>190</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25">
      <c r="X1765">
        <v>10</v>
      </c>
      <c r="Y1765" t="s">
        <v>709</v>
      </c>
      <c r="Z1765" t="s">
        <v>192</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25">
      <c r="X1766">
        <v>10</v>
      </c>
      <c r="Y1766" t="s">
        <v>774</v>
      </c>
      <c r="Z1766" t="s">
        <v>194</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25">
      <c r="X1767">
        <v>10</v>
      </c>
      <c r="Y1767" t="s">
        <v>775</v>
      </c>
      <c r="Z1767" t="s">
        <v>196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25">
      <c r="X1768">
        <v>10</v>
      </c>
      <c r="Y1768" t="s">
        <v>776</v>
      </c>
      <c r="Z1768" t="s">
        <v>605</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25">
      <c r="X1769">
        <v>10</v>
      </c>
      <c r="Y1769" t="s">
        <v>711</v>
      </c>
      <c r="Z1769" t="s">
        <v>200</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25">
      <c r="X1770">
        <v>10</v>
      </c>
      <c r="Y1770" t="s">
        <v>777</v>
      </c>
      <c r="Z1770" t="s">
        <v>202</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25">
      <c r="X1771">
        <v>10</v>
      </c>
      <c r="Y1771" t="s">
        <v>778</v>
      </c>
      <c r="Z1771" t="s">
        <v>204</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25">
      <c r="X1772">
        <v>10</v>
      </c>
      <c r="Y1772" t="s">
        <v>779</v>
      </c>
      <c r="Z1772" t="s">
        <v>605</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25">
      <c r="X1773">
        <v>10</v>
      </c>
      <c r="Y1773" t="s">
        <v>712</v>
      </c>
      <c r="Z1773" t="s">
        <v>780</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25">
      <c r="X1774">
        <v>10</v>
      </c>
      <c r="Y1774" t="s">
        <v>781</v>
      </c>
      <c r="Z1774" t="s">
        <v>782</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25">
      <c r="X1775">
        <v>10</v>
      </c>
      <c r="Y1775" t="s">
        <v>783</v>
      </c>
      <c r="Z1775" t="s">
        <v>784</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25">
      <c r="X1776">
        <v>10</v>
      </c>
      <c r="Y1776" t="s">
        <v>785</v>
      </c>
      <c r="Z1776" t="s">
        <v>786</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25">
      <c r="X1777">
        <v>10</v>
      </c>
      <c r="Y1777" t="s">
        <v>787</v>
      </c>
      <c r="Z1777" t="s">
        <v>633</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25">
      <c r="X1778">
        <v>10</v>
      </c>
      <c r="Y1778" t="s">
        <v>753</v>
      </c>
      <c r="Z1778" t="s">
        <v>162</v>
      </c>
      <c r="AA1778" t="str">
        <f>IF(OR(VLOOKUP(Table1[[#This Row],[sheet]],Prg!$A$7:$F$31,6,FALSE)=Prg!$O$2,VLOOKUP(Table1[[#This Row],[sheet]],Prg!$A$7:$F$31,6,FALSE)=Prg!$O$3),"Yes","No")</f>
        <v>No</v>
      </c>
      <c r="AB1778" t="s">
        <v>78</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25">
      <c r="X1779">
        <v>10</v>
      </c>
      <c r="Y1779" t="s">
        <v>754</v>
      </c>
      <c r="Z1779" t="s">
        <v>164</v>
      </c>
      <c r="AA1779" t="str">
        <f>IF(OR(VLOOKUP(Table1[[#This Row],[sheet]],Prg!$A$7:$F$31,6,FALSE)=Prg!$O$2,VLOOKUP(Table1[[#This Row],[sheet]],Prg!$A$7:$F$31,6,FALSE)=Prg!$O$3),"Yes","No")</f>
        <v>No</v>
      </c>
      <c r="AB1779" t="s">
        <v>78</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25">
      <c r="X1780">
        <v>10</v>
      </c>
      <c r="Y1780" t="s">
        <v>755</v>
      </c>
      <c r="Z1780" t="s">
        <v>166</v>
      </c>
      <c r="AA1780" t="str">
        <f>IF(OR(VLOOKUP(Table1[[#This Row],[sheet]],Prg!$A$7:$F$31,6,FALSE)=Prg!$O$2,VLOOKUP(Table1[[#This Row],[sheet]],Prg!$A$7:$F$31,6,FALSE)=Prg!$O$3),"Yes","No")</f>
        <v>No</v>
      </c>
      <c r="AB1780" t="s">
        <v>78</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25">
      <c r="X1781">
        <v>10</v>
      </c>
      <c r="Y1781" t="s">
        <v>756</v>
      </c>
      <c r="Z1781" t="s">
        <v>757</v>
      </c>
      <c r="AA1781" t="str">
        <f>IF(OR(VLOOKUP(Table1[[#This Row],[sheet]],Prg!$A$7:$F$31,6,FALSE)=Prg!$O$2,VLOOKUP(Table1[[#This Row],[sheet]],Prg!$A$7:$F$31,6,FALSE)=Prg!$O$3),"Yes","No")</f>
        <v>No</v>
      </c>
      <c r="AB1781" t="s">
        <v>78</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25">
      <c r="X1782">
        <v>10</v>
      </c>
      <c r="Y1782" t="s">
        <v>758</v>
      </c>
      <c r="Z1782" t="s">
        <v>170</v>
      </c>
      <c r="AA1782" t="str">
        <f>IF(OR(VLOOKUP(Table1[[#This Row],[sheet]],Prg!$A$7:$F$31,6,FALSE)=Prg!$O$2,VLOOKUP(Table1[[#This Row],[sheet]],Prg!$A$7:$F$31,6,FALSE)=Prg!$O$3),"Yes","No")</f>
        <v>No</v>
      </c>
      <c r="AB1782" t="s">
        <v>78</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25">
      <c r="X1783">
        <v>10</v>
      </c>
      <c r="Y1783" t="s">
        <v>759</v>
      </c>
      <c r="Z1783" t="s">
        <v>172</v>
      </c>
      <c r="AA1783" t="str">
        <f>IF(OR(VLOOKUP(Table1[[#This Row],[sheet]],Prg!$A$7:$F$31,6,FALSE)=Prg!$O$2,VLOOKUP(Table1[[#This Row],[sheet]],Prg!$A$7:$F$31,6,FALSE)=Prg!$O$3),"Yes","No")</f>
        <v>No</v>
      </c>
      <c r="AB1783" t="s">
        <v>78</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25">
      <c r="X1784">
        <v>10</v>
      </c>
      <c r="Y1784" t="s">
        <v>760</v>
      </c>
      <c r="Z1784" t="s">
        <v>174</v>
      </c>
      <c r="AA1784" t="str">
        <f>IF(OR(VLOOKUP(Table1[[#This Row],[sheet]],Prg!$A$7:$F$31,6,FALSE)=Prg!$O$2,VLOOKUP(Table1[[#This Row],[sheet]],Prg!$A$7:$F$31,6,FALSE)=Prg!$O$3),"Yes","No")</f>
        <v>No</v>
      </c>
      <c r="AB1784" t="s">
        <v>78</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25">
      <c r="X1785">
        <v>10</v>
      </c>
      <c r="Y1785" t="s">
        <v>761</v>
      </c>
      <c r="Z1785" t="s">
        <v>762</v>
      </c>
      <c r="AA1785" t="str">
        <f>IF(OR(VLOOKUP(Table1[[#This Row],[sheet]],Prg!$A$7:$F$31,6,FALSE)=Prg!$O$2,VLOOKUP(Table1[[#This Row],[sheet]],Prg!$A$7:$F$31,6,FALSE)=Prg!$O$3),"Yes","No")</f>
        <v>No</v>
      </c>
      <c r="AB1785" t="s">
        <v>78</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25">
      <c r="X1786">
        <v>10</v>
      </c>
      <c r="Y1786" t="s">
        <v>763</v>
      </c>
      <c r="Z1786" t="s">
        <v>178</v>
      </c>
      <c r="AA1786" t="str">
        <f>IF(OR(VLOOKUP(Table1[[#This Row],[sheet]],Prg!$A$7:$F$31,6,FALSE)=Prg!$O$2,VLOOKUP(Table1[[#This Row],[sheet]],Prg!$A$7:$F$31,6,FALSE)=Prg!$O$3),"Yes","No")</f>
        <v>No</v>
      </c>
      <c r="AB1786" t="s">
        <v>78</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25">
      <c r="X1787">
        <v>10</v>
      </c>
      <c r="Y1787" t="s">
        <v>764</v>
      </c>
      <c r="Z1787" t="s">
        <v>109</v>
      </c>
      <c r="AA1787" t="str">
        <f>IF(OR(VLOOKUP(Table1[[#This Row],[sheet]],Prg!$A$7:$F$31,6,FALSE)=Prg!$O$2,VLOOKUP(Table1[[#This Row],[sheet]],Prg!$A$7:$F$31,6,FALSE)=Prg!$O$3),"Yes","No")</f>
        <v>No</v>
      </c>
      <c r="AB1787" t="s">
        <v>78</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25">
      <c r="X1788">
        <v>10</v>
      </c>
      <c r="Y1788" t="s">
        <v>765</v>
      </c>
      <c r="Z1788" t="s">
        <v>117</v>
      </c>
      <c r="AA1788" t="str">
        <f>IF(OR(VLOOKUP(Table1[[#This Row],[sheet]],Prg!$A$7:$F$31,6,FALSE)=Prg!$O$2,VLOOKUP(Table1[[#This Row],[sheet]],Prg!$A$7:$F$31,6,FALSE)=Prg!$O$3),"Yes","No")</f>
        <v>No</v>
      </c>
      <c r="AB1788" t="s">
        <v>78</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25">
      <c r="X1789">
        <v>10</v>
      </c>
      <c r="Y1789" t="s">
        <v>766</v>
      </c>
      <c r="Z1789" t="s">
        <v>767</v>
      </c>
      <c r="AA1789" t="str">
        <f>IF(OR(VLOOKUP(Table1[[#This Row],[sheet]],Prg!$A$7:$F$31,6,FALSE)=Prg!$O$2,VLOOKUP(Table1[[#This Row],[sheet]],Prg!$A$7:$F$31,6,FALSE)=Prg!$O$3),"Yes","No")</f>
        <v>No</v>
      </c>
      <c r="AB1789" t="s">
        <v>78</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25">
      <c r="X1790">
        <v>10</v>
      </c>
      <c r="Y1790" t="s">
        <v>768</v>
      </c>
      <c r="Z1790" t="s">
        <v>182</v>
      </c>
      <c r="AA1790" t="str">
        <f>IF(OR(VLOOKUP(Table1[[#This Row],[sheet]],Prg!$A$7:$F$31,6,FALSE)=Prg!$O$2,VLOOKUP(Table1[[#This Row],[sheet]],Prg!$A$7:$F$31,6,FALSE)=Prg!$O$3),"Yes","No")</f>
        <v>No</v>
      </c>
      <c r="AB1790" t="s">
        <v>78</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25">
      <c r="X1791">
        <v>10</v>
      </c>
      <c r="Y1791" t="s">
        <v>769</v>
      </c>
      <c r="Z1791" t="s">
        <v>184</v>
      </c>
      <c r="AA1791" t="str">
        <f>IF(OR(VLOOKUP(Table1[[#This Row],[sheet]],Prg!$A$7:$F$31,6,FALSE)=Prg!$O$2,VLOOKUP(Table1[[#This Row],[sheet]],Prg!$A$7:$F$31,6,FALSE)=Prg!$O$3),"Yes","No")</f>
        <v>No</v>
      </c>
      <c r="AB1791" t="s">
        <v>78</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25">
      <c r="X1792">
        <v>10</v>
      </c>
      <c r="Y1792" t="s">
        <v>770</v>
      </c>
      <c r="Z1792" t="s">
        <v>186</v>
      </c>
      <c r="AA1792" t="str">
        <f>IF(OR(VLOOKUP(Table1[[#This Row],[sheet]],Prg!$A$7:$F$31,6,FALSE)=Prg!$O$2,VLOOKUP(Table1[[#This Row],[sheet]],Prg!$A$7:$F$31,6,FALSE)=Prg!$O$3),"Yes","No")</f>
        <v>No</v>
      </c>
      <c r="AB1792" t="s">
        <v>78</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25">
      <c r="X1793">
        <v>10</v>
      </c>
      <c r="Y1793" t="s">
        <v>771</v>
      </c>
      <c r="Z1793" t="s">
        <v>772</v>
      </c>
      <c r="AA1793" t="str">
        <f>IF(OR(VLOOKUP(Table1[[#This Row],[sheet]],Prg!$A$7:$F$31,6,FALSE)=Prg!$O$2,VLOOKUP(Table1[[#This Row],[sheet]],Prg!$A$7:$F$31,6,FALSE)=Prg!$O$3),"Yes","No")</f>
        <v>No</v>
      </c>
      <c r="AB1793" t="s">
        <v>78</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25">
      <c r="X1794">
        <v>10</v>
      </c>
      <c r="Y1794" t="s">
        <v>773</v>
      </c>
      <c r="Z1794" t="s">
        <v>190</v>
      </c>
      <c r="AA1794" t="str">
        <f>IF(OR(VLOOKUP(Table1[[#This Row],[sheet]],Prg!$A$7:$F$31,6,FALSE)=Prg!$O$2,VLOOKUP(Table1[[#This Row],[sheet]],Prg!$A$7:$F$31,6,FALSE)=Prg!$O$3),"Yes","No")</f>
        <v>No</v>
      </c>
      <c r="AB1794" t="s">
        <v>78</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25">
      <c r="X1795">
        <v>10</v>
      </c>
      <c r="Y1795" t="s">
        <v>709</v>
      </c>
      <c r="Z1795" t="s">
        <v>192</v>
      </c>
      <c r="AA1795" t="str">
        <f>IF(OR(VLOOKUP(Table1[[#This Row],[sheet]],Prg!$A$7:$F$31,6,FALSE)=Prg!$O$2,VLOOKUP(Table1[[#This Row],[sheet]],Prg!$A$7:$F$31,6,FALSE)=Prg!$O$3),"Yes","No")</f>
        <v>No</v>
      </c>
      <c r="AB1795" t="s">
        <v>78</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25">
      <c r="X1796">
        <v>10</v>
      </c>
      <c r="Y1796" t="s">
        <v>774</v>
      </c>
      <c r="Z1796" t="s">
        <v>194</v>
      </c>
      <c r="AA1796" t="str">
        <f>IF(OR(VLOOKUP(Table1[[#This Row],[sheet]],Prg!$A$7:$F$31,6,FALSE)=Prg!$O$2,VLOOKUP(Table1[[#This Row],[sheet]],Prg!$A$7:$F$31,6,FALSE)=Prg!$O$3),"Yes","No")</f>
        <v>No</v>
      </c>
      <c r="AB1796" t="s">
        <v>78</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25">
      <c r="X1797">
        <v>10</v>
      </c>
      <c r="Y1797" t="s">
        <v>775</v>
      </c>
      <c r="Z1797" t="s">
        <v>196</v>
      </c>
      <c r="AA1797" t="str">
        <f>IF(OR(VLOOKUP(Table1[[#This Row],[sheet]],Prg!$A$7:$F$31,6,FALSE)=Prg!$O$2,VLOOKUP(Table1[[#This Row],[sheet]],Prg!$A$7:$F$31,6,FALSE)=Prg!$O$3),"Yes","No")</f>
        <v>No</v>
      </c>
      <c r="AB1797" t="s">
        <v>78</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25">
      <c r="X1798">
        <v>10</v>
      </c>
      <c r="Y1798" t="s">
        <v>776</v>
      </c>
      <c r="Z1798" t="s">
        <v>605</v>
      </c>
      <c r="AA1798" t="str">
        <f>IF(OR(VLOOKUP(Table1[[#This Row],[sheet]],Prg!$A$7:$F$31,6,FALSE)=Prg!$O$2,VLOOKUP(Table1[[#This Row],[sheet]],Prg!$A$7:$F$31,6,FALSE)=Prg!$O$3),"Yes","No")</f>
        <v>No</v>
      </c>
      <c r="AB1798" t="s">
        <v>78</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25">
      <c r="X1799">
        <v>10</v>
      </c>
      <c r="Y1799" t="s">
        <v>711</v>
      </c>
      <c r="Z1799" t="s">
        <v>200</v>
      </c>
      <c r="AA1799" t="str">
        <f>IF(OR(VLOOKUP(Table1[[#This Row],[sheet]],Prg!$A$7:$F$31,6,FALSE)=Prg!$O$2,VLOOKUP(Table1[[#This Row],[sheet]],Prg!$A$7:$F$31,6,FALSE)=Prg!$O$3),"Yes","No")</f>
        <v>No</v>
      </c>
      <c r="AB1799" t="s">
        <v>78</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25">
      <c r="X1800">
        <v>10</v>
      </c>
      <c r="Y1800" t="s">
        <v>777</v>
      </c>
      <c r="Z1800" t="s">
        <v>202</v>
      </c>
      <c r="AA1800" t="str">
        <f>IF(OR(VLOOKUP(Table1[[#This Row],[sheet]],Prg!$A$7:$F$31,6,FALSE)=Prg!$O$2,VLOOKUP(Table1[[#This Row],[sheet]],Prg!$A$7:$F$31,6,FALSE)=Prg!$O$3),"Yes","No")</f>
        <v>No</v>
      </c>
      <c r="AB1800" t="s">
        <v>78</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25">
      <c r="X1801">
        <v>10</v>
      </c>
      <c r="Y1801" t="s">
        <v>778</v>
      </c>
      <c r="Z1801" t="s">
        <v>204</v>
      </c>
      <c r="AA1801" t="str">
        <f>IF(OR(VLOOKUP(Table1[[#This Row],[sheet]],Prg!$A$7:$F$31,6,FALSE)=Prg!$O$2,VLOOKUP(Table1[[#This Row],[sheet]],Prg!$A$7:$F$31,6,FALSE)=Prg!$O$3),"Yes","No")</f>
        <v>No</v>
      </c>
      <c r="AB1801" t="s">
        <v>78</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25">
      <c r="X1802">
        <v>10</v>
      </c>
      <c r="Y1802" t="s">
        <v>779</v>
      </c>
      <c r="Z1802" t="s">
        <v>605</v>
      </c>
      <c r="AA1802" t="str">
        <f>IF(OR(VLOOKUP(Table1[[#This Row],[sheet]],Prg!$A$7:$F$31,6,FALSE)=Prg!$O$2,VLOOKUP(Table1[[#This Row],[sheet]],Prg!$A$7:$F$31,6,FALSE)=Prg!$O$3),"Yes","No")</f>
        <v>No</v>
      </c>
      <c r="AB1802" t="s">
        <v>78</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25">
      <c r="X1803">
        <v>10</v>
      </c>
      <c r="Y1803" t="s">
        <v>712</v>
      </c>
      <c r="Z1803" t="s">
        <v>780</v>
      </c>
      <c r="AA1803" t="str">
        <f>IF(OR(VLOOKUP(Table1[[#This Row],[sheet]],Prg!$A$7:$F$31,6,FALSE)=Prg!$O$2,VLOOKUP(Table1[[#This Row],[sheet]],Prg!$A$7:$F$31,6,FALSE)=Prg!$O$3),"Yes","No")</f>
        <v>No</v>
      </c>
      <c r="AB1803" t="s">
        <v>78</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25">
      <c r="X1804">
        <v>10</v>
      </c>
      <c r="Y1804" t="s">
        <v>781</v>
      </c>
      <c r="Z1804" t="s">
        <v>782</v>
      </c>
      <c r="AA1804" t="str">
        <f>IF(OR(VLOOKUP(Table1[[#This Row],[sheet]],Prg!$A$7:$F$31,6,FALSE)=Prg!$O$2,VLOOKUP(Table1[[#This Row],[sheet]],Prg!$A$7:$F$31,6,FALSE)=Prg!$O$3),"Yes","No")</f>
        <v>No</v>
      </c>
      <c r="AB1804" t="s">
        <v>78</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25">
      <c r="X1805">
        <v>10</v>
      </c>
      <c r="Y1805" t="s">
        <v>783</v>
      </c>
      <c r="Z1805" t="s">
        <v>784</v>
      </c>
      <c r="AA1805" t="str">
        <f>IF(OR(VLOOKUP(Table1[[#This Row],[sheet]],Prg!$A$7:$F$31,6,FALSE)=Prg!$O$2,VLOOKUP(Table1[[#This Row],[sheet]],Prg!$A$7:$F$31,6,FALSE)=Prg!$O$3),"Yes","No")</f>
        <v>No</v>
      </c>
      <c r="AB1805" t="s">
        <v>78</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25">
      <c r="X1806">
        <v>10</v>
      </c>
      <c r="Y1806" t="s">
        <v>785</v>
      </c>
      <c r="Z1806" t="s">
        <v>786</v>
      </c>
      <c r="AA1806" t="str">
        <f>IF(OR(VLOOKUP(Table1[[#This Row],[sheet]],Prg!$A$7:$F$31,6,FALSE)=Prg!$O$2,VLOOKUP(Table1[[#This Row],[sheet]],Prg!$A$7:$F$31,6,FALSE)=Prg!$O$3),"Yes","No")</f>
        <v>No</v>
      </c>
      <c r="AB1806" t="s">
        <v>78</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25">
      <c r="X1807">
        <v>10</v>
      </c>
      <c r="Y1807" t="s">
        <v>787</v>
      </c>
      <c r="Z1807" t="s">
        <v>633</v>
      </c>
      <c r="AA1807" t="str">
        <f>IF(OR(VLOOKUP(Table1[[#This Row],[sheet]],Prg!$A$7:$F$31,6,FALSE)=Prg!$O$2,VLOOKUP(Table1[[#This Row],[sheet]],Prg!$A$7:$F$31,6,FALSE)=Prg!$O$3),"Yes","No")</f>
        <v>No</v>
      </c>
      <c r="AB1807" t="s">
        <v>78</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25">
      <c r="X1808">
        <v>11</v>
      </c>
      <c r="Y1808" s="53" t="s">
        <v>753</v>
      </c>
      <c r="Z1808" s="53" t="s">
        <v>162</v>
      </c>
      <c r="AA1808" s="53" t="str">
        <f>IF(OR(VLOOKUP(Table1[[#This Row],[sheet]],Prg!$A$7:$F$31,6,FALSE)=Prg!$O$2,VLOOKUP(Table1[[#This Row],[sheet]],Prg!$A$7:$F$31,6,FALSE)=Prg!$O$3),"Yes","No")</f>
        <v>No</v>
      </c>
      <c r="AB1808" s="53">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25">
      <c r="X1809">
        <v>11</v>
      </c>
      <c r="Y1809" t="s">
        <v>754</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25">
      <c r="X1810">
        <v>11</v>
      </c>
      <c r="Y1810" t="s">
        <v>755</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25">
      <c r="X1811">
        <v>11</v>
      </c>
      <c r="Y1811" t="s">
        <v>756</v>
      </c>
      <c r="Z1811" t="s">
        <v>757</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25">
      <c r="X1812">
        <v>11</v>
      </c>
      <c r="Y1812" t="s">
        <v>758</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25">
      <c r="X1813">
        <v>11</v>
      </c>
      <c r="Y1813" t="s">
        <v>759</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25">
      <c r="X1814">
        <v>11</v>
      </c>
      <c r="Y1814" t="s">
        <v>760</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25">
      <c r="X1815">
        <v>11</v>
      </c>
      <c r="Y1815" t="s">
        <v>761</v>
      </c>
      <c r="Z1815" t="s">
        <v>762</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25">
      <c r="X1816">
        <v>11</v>
      </c>
      <c r="Y1816" t="s">
        <v>763</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25">
      <c r="X1817">
        <v>11</v>
      </c>
      <c r="Y1817" t="s">
        <v>764</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25">
      <c r="X1818">
        <v>11</v>
      </c>
      <c r="Y1818" t="s">
        <v>765</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25">
      <c r="X1819">
        <v>11</v>
      </c>
      <c r="Y1819" t="s">
        <v>766</v>
      </c>
      <c r="Z1819" t="s">
        <v>767</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25">
      <c r="X1820">
        <v>11</v>
      </c>
      <c r="Y1820" t="s">
        <v>768</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25">
      <c r="X1821">
        <v>11</v>
      </c>
      <c r="Y1821" t="s">
        <v>769</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25">
      <c r="X1822">
        <v>11</v>
      </c>
      <c r="Y1822" t="s">
        <v>770</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25">
      <c r="X1823">
        <v>11</v>
      </c>
      <c r="Y1823" t="s">
        <v>771</v>
      </c>
      <c r="Z1823" t="s">
        <v>772</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25">
      <c r="X1824">
        <v>11</v>
      </c>
      <c r="Y1824" t="s">
        <v>773</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25">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25">
      <c r="X1826">
        <v>11</v>
      </c>
      <c r="Y1826" t="s">
        <v>774</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25">
      <c r="X1827">
        <v>11</v>
      </c>
      <c r="Y1827" t="s">
        <v>775</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25">
      <c r="X1828">
        <v>11</v>
      </c>
      <c r="Y1828" t="s">
        <v>776</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25">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25">
      <c r="X1830">
        <v>11</v>
      </c>
      <c r="Y1830" t="s">
        <v>777</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25">
      <c r="X1831">
        <v>11</v>
      </c>
      <c r="Y1831" t="s">
        <v>778</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25">
      <c r="X1832">
        <v>11</v>
      </c>
      <c r="Y1832" t="s">
        <v>779</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25">
      <c r="X1833">
        <v>11</v>
      </c>
      <c r="Y1833" t="s">
        <v>712</v>
      </c>
      <c r="Z1833" t="s">
        <v>780</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25">
      <c r="X1834">
        <v>11</v>
      </c>
      <c r="Y1834" t="s">
        <v>781</v>
      </c>
      <c r="Z1834" t="s">
        <v>782</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25">
      <c r="X1835">
        <v>11</v>
      </c>
      <c r="Y1835" t="s">
        <v>783</v>
      </c>
      <c r="Z1835" t="s">
        <v>784</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25">
      <c r="X1836">
        <v>11</v>
      </c>
      <c r="Y1836" t="s">
        <v>785</v>
      </c>
      <c r="Z1836" t="s">
        <v>786</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25">
      <c r="X1837">
        <v>11</v>
      </c>
      <c r="Y1837" t="s">
        <v>787</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25">
      <c r="X1838">
        <v>11</v>
      </c>
      <c r="Y1838" s="53" t="s">
        <v>753</v>
      </c>
      <c r="Z1838" s="53" t="s">
        <v>162</v>
      </c>
      <c r="AA1838" s="53" t="str">
        <f>IF(OR(VLOOKUP(Table1[[#This Row],[sheet]],Prg!$A$7:$F$31,6,FALSE)=Prg!$O$2,VLOOKUP(Table1[[#This Row],[sheet]],Prg!$A$7:$F$31,6,FALSE)=Prg!$O$3),"Yes","No")</f>
        <v>No</v>
      </c>
      <c r="AB1838" s="53">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25">
      <c r="X1839">
        <v>11</v>
      </c>
      <c r="Y1839" t="s">
        <v>754</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25">
      <c r="X1840">
        <v>11</v>
      </c>
      <c r="Y1840" t="s">
        <v>755</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25">
      <c r="X1841">
        <v>11</v>
      </c>
      <c r="Y1841" t="s">
        <v>756</v>
      </c>
      <c r="Z1841" t="s">
        <v>757</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25">
      <c r="X1842">
        <v>11</v>
      </c>
      <c r="Y1842" t="s">
        <v>758</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25">
      <c r="X1843">
        <v>11</v>
      </c>
      <c r="Y1843" t="s">
        <v>759</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25">
      <c r="X1844">
        <v>11</v>
      </c>
      <c r="Y1844" t="s">
        <v>760</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25">
      <c r="X1845">
        <v>11</v>
      </c>
      <c r="Y1845" t="s">
        <v>761</v>
      </c>
      <c r="Z1845" t="s">
        <v>762</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25">
      <c r="X1846">
        <v>11</v>
      </c>
      <c r="Y1846" t="s">
        <v>763</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25">
      <c r="X1847">
        <v>11</v>
      </c>
      <c r="Y1847" t="s">
        <v>764</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25">
      <c r="X1848">
        <v>11</v>
      </c>
      <c r="Y1848" t="s">
        <v>765</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25">
      <c r="X1849">
        <v>11</v>
      </c>
      <c r="Y1849" t="s">
        <v>766</v>
      </c>
      <c r="Z1849" t="s">
        <v>767</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25">
      <c r="X1850">
        <v>11</v>
      </c>
      <c r="Y1850" t="s">
        <v>768</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25">
      <c r="X1851">
        <v>11</v>
      </c>
      <c r="Y1851" t="s">
        <v>769</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25">
      <c r="X1852">
        <v>11</v>
      </c>
      <c r="Y1852" t="s">
        <v>770</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25">
      <c r="X1853">
        <v>11</v>
      </c>
      <c r="Y1853" t="s">
        <v>771</v>
      </c>
      <c r="Z1853" t="s">
        <v>772</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25">
      <c r="X1854">
        <v>11</v>
      </c>
      <c r="Y1854" t="s">
        <v>773</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25">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25">
      <c r="X1856">
        <v>11</v>
      </c>
      <c r="Y1856" t="s">
        <v>774</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25">
      <c r="X1857">
        <v>11</v>
      </c>
      <c r="Y1857" t="s">
        <v>775</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25">
      <c r="X1858">
        <v>11</v>
      </c>
      <c r="Y1858" t="s">
        <v>776</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25">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25">
      <c r="X1860">
        <v>11</v>
      </c>
      <c r="Y1860" t="s">
        <v>777</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25">
      <c r="X1861">
        <v>11</v>
      </c>
      <c r="Y1861" t="s">
        <v>778</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25">
      <c r="X1862">
        <v>11</v>
      </c>
      <c r="Y1862" t="s">
        <v>779</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25">
      <c r="X1863">
        <v>11</v>
      </c>
      <c r="Y1863" t="s">
        <v>712</v>
      </c>
      <c r="Z1863" t="s">
        <v>780</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25">
      <c r="X1864">
        <v>11</v>
      </c>
      <c r="Y1864" t="s">
        <v>781</v>
      </c>
      <c r="Z1864" t="s">
        <v>782</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25">
      <c r="X1865">
        <v>11</v>
      </c>
      <c r="Y1865" t="s">
        <v>783</v>
      </c>
      <c r="Z1865" t="s">
        <v>784</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25">
      <c r="X1866">
        <v>11</v>
      </c>
      <c r="Y1866" t="s">
        <v>785</v>
      </c>
      <c r="Z1866" t="s">
        <v>786</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25">
      <c r="X1867">
        <v>11</v>
      </c>
      <c r="Y1867" t="s">
        <v>787</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25">
      <c r="X1868">
        <v>11</v>
      </c>
      <c r="Y1868" s="53" t="s">
        <v>753</v>
      </c>
      <c r="Z1868" s="53" t="s">
        <v>162</v>
      </c>
      <c r="AA1868" s="53" t="str">
        <f>IF(OR(VLOOKUP(Table1[[#This Row],[sheet]],Prg!$A$7:$F$31,6,FALSE)=Prg!$O$2,VLOOKUP(Table1[[#This Row],[sheet]],Prg!$A$7:$F$31,6,FALSE)=Prg!$O$3),"Yes","No")</f>
        <v>No</v>
      </c>
      <c r="AB1868" s="53">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25">
      <c r="X1869">
        <v>11</v>
      </c>
      <c r="Y1869" t="s">
        <v>754</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25">
      <c r="X1870">
        <v>11</v>
      </c>
      <c r="Y1870" t="s">
        <v>755</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25">
      <c r="X1871">
        <v>11</v>
      </c>
      <c r="Y1871" t="s">
        <v>756</v>
      </c>
      <c r="Z1871" t="s">
        <v>757</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25">
      <c r="X1872">
        <v>11</v>
      </c>
      <c r="Y1872" t="s">
        <v>758</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25">
      <c r="X1873">
        <v>11</v>
      </c>
      <c r="Y1873" t="s">
        <v>759</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25">
      <c r="X1874">
        <v>11</v>
      </c>
      <c r="Y1874" t="s">
        <v>760</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25">
      <c r="X1875">
        <v>11</v>
      </c>
      <c r="Y1875" t="s">
        <v>761</v>
      </c>
      <c r="Z1875" t="s">
        <v>762</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25">
      <c r="X1876">
        <v>11</v>
      </c>
      <c r="Y1876" t="s">
        <v>763</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25">
      <c r="X1877">
        <v>11</v>
      </c>
      <c r="Y1877" t="s">
        <v>764</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25">
      <c r="X1878">
        <v>11</v>
      </c>
      <c r="Y1878" t="s">
        <v>765</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25">
      <c r="X1879">
        <v>11</v>
      </c>
      <c r="Y1879" t="s">
        <v>766</v>
      </c>
      <c r="Z1879" t="s">
        <v>767</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25">
      <c r="X1880">
        <v>11</v>
      </c>
      <c r="Y1880" t="s">
        <v>768</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25">
      <c r="X1881">
        <v>11</v>
      </c>
      <c r="Y1881" t="s">
        <v>769</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25">
      <c r="X1882">
        <v>11</v>
      </c>
      <c r="Y1882" t="s">
        <v>770</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25">
      <c r="X1883">
        <v>11</v>
      </c>
      <c r="Y1883" t="s">
        <v>771</v>
      </c>
      <c r="Z1883" t="s">
        <v>772</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25">
      <c r="X1884">
        <v>11</v>
      </c>
      <c r="Y1884" t="s">
        <v>773</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25">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25">
      <c r="X1886">
        <v>11</v>
      </c>
      <c r="Y1886" t="s">
        <v>774</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25">
      <c r="X1887">
        <v>11</v>
      </c>
      <c r="Y1887" t="s">
        <v>775</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25">
      <c r="X1888">
        <v>11</v>
      </c>
      <c r="Y1888" t="s">
        <v>776</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25">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25">
      <c r="X1890">
        <v>11</v>
      </c>
      <c r="Y1890" t="s">
        <v>777</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25">
      <c r="X1891">
        <v>11</v>
      </c>
      <c r="Y1891" t="s">
        <v>778</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25">
      <c r="X1892">
        <v>11</v>
      </c>
      <c r="Y1892" t="s">
        <v>779</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25">
      <c r="X1893">
        <v>11</v>
      </c>
      <c r="Y1893" t="s">
        <v>712</v>
      </c>
      <c r="Z1893" t="s">
        <v>780</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25">
      <c r="X1894">
        <v>11</v>
      </c>
      <c r="Y1894" t="s">
        <v>781</v>
      </c>
      <c r="Z1894" t="s">
        <v>782</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25">
      <c r="X1895">
        <v>11</v>
      </c>
      <c r="Y1895" t="s">
        <v>783</v>
      </c>
      <c r="Z1895" t="s">
        <v>784</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25">
      <c r="X1896">
        <v>11</v>
      </c>
      <c r="Y1896" t="s">
        <v>785</v>
      </c>
      <c r="Z1896" t="s">
        <v>786</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25">
      <c r="X1897">
        <v>11</v>
      </c>
      <c r="Y1897" t="s">
        <v>787</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25">
      <c r="X1898">
        <v>11</v>
      </c>
      <c r="Y1898" s="53" t="s">
        <v>753</v>
      </c>
      <c r="Z1898" s="53" t="s">
        <v>162</v>
      </c>
      <c r="AA1898" s="53" t="str">
        <f>IF(OR(VLOOKUP(Table1[[#This Row],[sheet]],Prg!$A$7:$F$31,6,FALSE)=Prg!$O$2,VLOOKUP(Table1[[#This Row],[sheet]],Prg!$A$7:$F$31,6,FALSE)=Prg!$O$3),"Yes","No")</f>
        <v>No</v>
      </c>
      <c r="AB1898" s="53">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25">
      <c r="X1899">
        <v>11</v>
      </c>
      <c r="Y1899" t="s">
        <v>754</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25">
      <c r="X1900">
        <v>11</v>
      </c>
      <c r="Y1900" t="s">
        <v>755</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25">
      <c r="X1901">
        <v>11</v>
      </c>
      <c r="Y1901" t="s">
        <v>756</v>
      </c>
      <c r="Z1901" t="s">
        <v>757</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25">
      <c r="X1902">
        <v>11</v>
      </c>
      <c r="Y1902" t="s">
        <v>758</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25">
      <c r="X1903">
        <v>11</v>
      </c>
      <c r="Y1903" t="s">
        <v>759</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25">
      <c r="X1904">
        <v>11</v>
      </c>
      <c r="Y1904" t="s">
        <v>760</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25">
      <c r="X1905">
        <v>11</v>
      </c>
      <c r="Y1905" t="s">
        <v>761</v>
      </c>
      <c r="Z1905" t="s">
        <v>762</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25">
      <c r="X1906">
        <v>11</v>
      </c>
      <c r="Y1906" t="s">
        <v>763</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25">
      <c r="X1907">
        <v>11</v>
      </c>
      <c r="Y1907" t="s">
        <v>764</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25">
      <c r="X1908">
        <v>11</v>
      </c>
      <c r="Y1908" t="s">
        <v>765</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25">
      <c r="X1909">
        <v>11</v>
      </c>
      <c r="Y1909" t="s">
        <v>766</v>
      </c>
      <c r="Z1909" t="s">
        <v>767</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25">
      <c r="X1910">
        <v>11</v>
      </c>
      <c r="Y1910" t="s">
        <v>768</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25">
      <c r="X1911">
        <v>11</v>
      </c>
      <c r="Y1911" t="s">
        <v>769</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25">
      <c r="X1912">
        <v>11</v>
      </c>
      <c r="Y1912" t="s">
        <v>770</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25">
      <c r="X1913">
        <v>11</v>
      </c>
      <c r="Y1913" t="s">
        <v>771</v>
      </c>
      <c r="Z1913" t="s">
        <v>772</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25">
      <c r="X1914">
        <v>11</v>
      </c>
      <c r="Y1914" t="s">
        <v>773</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25">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25">
      <c r="X1916">
        <v>11</v>
      </c>
      <c r="Y1916" t="s">
        <v>774</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25">
      <c r="X1917">
        <v>11</v>
      </c>
      <c r="Y1917" t="s">
        <v>775</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25">
      <c r="X1918">
        <v>11</v>
      </c>
      <c r="Y1918" t="s">
        <v>776</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25">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25">
      <c r="X1920">
        <v>11</v>
      </c>
      <c r="Y1920" t="s">
        <v>777</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25">
      <c r="X1921">
        <v>11</v>
      </c>
      <c r="Y1921" t="s">
        <v>778</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25">
      <c r="X1922">
        <v>11</v>
      </c>
      <c r="Y1922" t="s">
        <v>779</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25">
      <c r="X1923">
        <v>11</v>
      </c>
      <c r="Y1923" t="s">
        <v>712</v>
      </c>
      <c r="Z1923" t="s">
        <v>780</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25">
      <c r="X1924">
        <v>11</v>
      </c>
      <c r="Y1924" t="s">
        <v>781</v>
      </c>
      <c r="Z1924" t="s">
        <v>782</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25">
      <c r="X1925">
        <v>11</v>
      </c>
      <c r="Y1925" t="s">
        <v>783</v>
      </c>
      <c r="Z1925" t="s">
        <v>784</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25">
      <c r="X1926">
        <v>11</v>
      </c>
      <c r="Y1926" t="s">
        <v>785</v>
      </c>
      <c r="Z1926" t="s">
        <v>786</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25">
      <c r="X1927">
        <v>11</v>
      </c>
      <c r="Y1927" t="s">
        <v>787</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25">
      <c r="X1928">
        <v>11</v>
      </c>
      <c r="Y1928" s="53" t="s">
        <v>753</v>
      </c>
      <c r="Z1928" s="53" t="s">
        <v>162</v>
      </c>
      <c r="AA1928" s="53" t="str">
        <f>IF(OR(VLOOKUP(Table1[[#This Row],[sheet]],Prg!$A$7:$F$31,6,FALSE)=Prg!$O$2,VLOOKUP(Table1[[#This Row],[sheet]],Prg!$A$7:$F$31,6,FALSE)=Prg!$O$3),"Yes","No")</f>
        <v>No</v>
      </c>
      <c r="AB1928" s="53">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25">
      <c r="X1929">
        <v>11</v>
      </c>
      <c r="Y1929" t="s">
        <v>754</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25">
      <c r="X1930">
        <v>11</v>
      </c>
      <c r="Y1930" t="s">
        <v>755</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25">
      <c r="X1931">
        <v>11</v>
      </c>
      <c r="Y1931" t="s">
        <v>756</v>
      </c>
      <c r="Z1931" t="s">
        <v>757</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25">
      <c r="X1932">
        <v>11</v>
      </c>
      <c r="Y1932" t="s">
        <v>758</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25">
      <c r="X1933">
        <v>11</v>
      </c>
      <c r="Y1933" t="s">
        <v>759</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25">
      <c r="X1934">
        <v>11</v>
      </c>
      <c r="Y1934" t="s">
        <v>760</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25">
      <c r="X1935">
        <v>11</v>
      </c>
      <c r="Y1935" t="s">
        <v>761</v>
      </c>
      <c r="Z1935" t="s">
        <v>762</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25">
      <c r="X1936">
        <v>11</v>
      </c>
      <c r="Y1936" t="s">
        <v>763</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25">
      <c r="X1937">
        <v>11</v>
      </c>
      <c r="Y1937" t="s">
        <v>764</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25">
      <c r="X1938">
        <v>11</v>
      </c>
      <c r="Y1938" t="s">
        <v>765</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25">
      <c r="X1939">
        <v>11</v>
      </c>
      <c r="Y1939" t="s">
        <v>766</v>
      </c>
      <c r="Z1939" t="s">
        <v>767</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25">
      <c r="X1940">
        <v>11</v>
      </c>
      <c r="Y1940" t="s">
        <v>768</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25">
      <c r="X1941">
        <v>11</v>
      </c>
      <c r="Y1941" t="s">
        <v>769</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25">
      <c r="X1942">
        <v>11</v>
      </c>
      <c r="Y1942" t="s">
        <v>770</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25">
      <c r="X1943">
        <v>11</v>
      </c>
      <c r="Y1943" t="s">
        <v>771</v>
      </c>
      <c r="Z1943" t="s">
        <v>772</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25">
      <c r="X1944">
        <v>11</v>
      </c>
      <c r="Y1944" t="s">
        <v>773</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25">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25">
      <c r="X1946">
        <v>11</v>
      </c>
      <c r="Y1946" t="s">
        <v>774</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25">
      <c r="X1947">
        <v>11</v>
      </c>
      <c r="Y1947" t="s">
        <v>775</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25">
      <c r="X1948">
        <v>11</v>
      </c>
      <c r="Y1948" t="s">
        <v>776</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25">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25">
      <c r="X1950">
        <v>11</v>
      </c>
      <c r="Y1950" t="s">
        <v>777</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25">
      <c r="X1951">
        <v>11</v>
      </c>
      <c r="Y1951" t="s">
        <v>778</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25">
      <c r="X1952">
        <v>11</v>
      </c>
      <c r="Y1952" t="s">
        <v>779</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25">
      <c r="X1953">
        <v>11</v>
      </c>
      <c r="Y1953" t="s">
        <v>712</v>
      </c>
      <c r="Z1953" t="s">
        <v>780</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25">
      <c r="X1954">
        <v>11</v>
      </c>
      <c r="Y1954" t="s">
        <v>781</v>
      </c>
      <c r="Z1954" t="s">
        <v>782</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25">
      <c r="X1955">
        <v>11</v>
      </c>
      <c r="Y1955" t="s">
        <v>783</v>
      </c>
      <c r="Z1955" t="s">
        <v>784</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25">
      <c r="X1956">
        <v>11</v>
      </c>
      <c r="Y1956" t="s">
        <v>785</v>
      </c>
      <c r="Z1956" t="s">
        <v>786</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25">
      <c r="X1957">
        <v>11</v>
      </c>
      <c r="Y1957" t="s">
        <v>787</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25">
      <c r="X1958">
        <v>11</v>
      </c>
      <c r="Y1958" s="53" t="s">
        <v>753</v>
      </c>
      <c r="Z1958" s="53" t="s">
        <v>162</v>
      </c>
      <c r="AA1958" s="53" t="str">
        <f>IF(OR(VLOOKUP(Table1[[#This Row],[sheet]],Prg!$A$7:$F$31,6,FALSE)=Prg!$O$2,VLOOKUP(Table1[[#This Row],[sheet]],Prg!$A$7:$F$31,6,FALSE)=Prg!$O$3),"Yes","No")</f>
        <v>No</v>
      </c>
      <c r="AB1958" s="53" t="s">
        <v>78</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25">
      <c r="X1959">
        <v>11</v>
      </c>
      <c r="Y1959" t="s">
        <v>754</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25">
      <c r="X1960">
        <v>11</v>
      </c>
      <c r="Y1960" t="s">
        <v>755</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25">
      <c r="X1961">
        <v>11</v>
      </c>
      <c r="Y1961" t="s">
        <v>756</v>
      </c>
      <c r="Z1961" t="s">
        <v>757</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25">
      <c r="X1962">
        <v>11</v>
      </c>
      <c r="Y1962" t="s">
        <v>758</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25">
      <c r="X1963">
        <v>11</v>
      </c>
      <c r="Y1963" t="s">
        <v>759</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25">
      <c r="X1964">
        <v>11</v>
      </c>
      <c r="Y1964" t="s">
        <v>760</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25">
      <c r="X1965">
        <v>11</v>
      </c>
      <c r="Y1965" t="s">
        <v>761</v>
      </c>
      <c r="Z1965" t="s">
        <v>762</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25">
      <c r="X1966">
        <v>11</v>
      </c>
      <c r="Y1966" t="s">
        <v>763</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25">
      <c r="X1967">
        <v>11</v>
      </c>
      <c r="Y1967" t="s">
        <v>764</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25">
      <c r="X1968">
        <v>11</v>
      </c>
      <c r="Y1968" t="s">
        <v>765</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25">
      <c r="X1969">
        <v>11</v>
      </c>
      <c r="Y1969" t="s">
        <v>766</v>
      </c>
      <c r="Z1969" t="s">
        <v>767</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25">
      <c r="X1970">
        <v>11</v>
      </c>
      <c r="Y1970" t="s">
        <v>768</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25">
      <c r="X1971">
        <v>11</v>
      </c>
      <c r="Y1971" t="s">
        <v>769</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25">
      <c r="X1972">
        <v>11</v>
      </c>
      <c r="Y1972" t="s">
        <v>770</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25">
      <c r="X1973">
        <v>11</v>
      </c>
      <c r="Y1973" t="s">
        <v>771</v>
      </c>
      <c r="Z1973" t="s">
        <v>772</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25">
      <c r="X1974">
        <v>11</v>
      </c>
      <c r="Y1974" t="s">
        <v>773</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25">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25">
      <c r="X1976">
        <v>11</v>
      </c>
      <c r="Y1976" t="s">
        <v>774</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25">
      <c r="X1977">
        <v>11</v>
      </c>
      <c r="Y1977" t="s">
        <v>775</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25">
      <c r="X1978">
        <v>11</v>
      </c>
      <c r="Y1978" t="s">
        <v>776</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25">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25">
      <c r="X1980">
        <v>11</v>
      </c>
      <c r="Y1980" t="s">
        <v>777</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25">
      <c r="X1981">
        <v>11</v>
      </c>
      <c r="Y1981" t="s">
        <v>778</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25">
      <c r="X1982">
        <v>11</v>
      </c>
      <c r="Y1982" t="s">
        <v>779</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25">
      <c r="X1983">
        <v>11</v>
      </c>
      <c r="Y1983" t="s">
        <v>712</v>
      </c>
      <c r="Z1983" t="s">
        <v>780</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25">
      <c r="X1984">
        <v>11</v>
      </c>
      <c r="Y1984" t="s">
        <v>781</v>
      </c>
      <c r="Z1984" t="s">
        <v>782</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25">
      <c r="X1985">
        <v>11</v>
      </c>
      <c r="Y1985" t="s">
        <v>783</v>
      </c>
      <c r="Z1985" t="s">
        <v>784</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25">
      <c r="X1986">
        <v>11</v>
      </c>
      <c r="Y1986" t="s">
        <v>785</v>
      </c>
      <c r="Z1986" t="s">
        <v>786</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25">
      <c r="X1987">
        <v>11</v>
      </c>
      <c r="Y1987" t="s">
        <v>787</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25">
      <c r="X1988">
        <v>12</v>
      </c>
      <c r="Y1988" s="53" t="s">
        <v>753</v>
      </c>
      <c r="Z1988" s="53" t="s">
        <v>162</v>
      </c>
      <c r="AA1988" s="53" t="str">
        <f>IF(OR(VLOOKUP(Table1[[#This Row],[sheet]],Prg!$A$7:$F$31,6,FALSE)=Prg!$O$2,VLOOKUP(Table1[[#This Row],[sheet]],Prg!$A$7:$F$31,6,FALSE)=Prg!$O$3),"Yes","No")</f>
        <v>No</v>
      </c>
      <c r="AB1988" s="53">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25">
      <c r="X1989">
        <v>12</v>
      </c>
      <c r="Y1989" t="s">
        <v>754</v>
      </c>
      <c r="Z1989" t="s">
        <v>164</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25">
      <c r="X1990">
        <v>12</v>
      </c>
      <c r="Y1990" t="s">
        <v>755</v>
      </c>
      <c r="Z1990" t="s">
        <v>166</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25">
      <c r="X1991">
        <v>12</v>
      </c>
      <c r="Y1991" t="s">
        <v>756</v>
      </c>
      <c r="Z1991" t="s">
        <v>757</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25">
      <c r="X1992">
        <v>12</v>
      </c>
      <c r="Y1992" t="s">
        <v>758</v>
      </c>
      <c r="Z1992" t="s">
        <v>170</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25">
      <c r="X1993">
        <v>12</v>
      </c>
      <c r="Y1993" t="s">
        <v>759</v>
      </c>
      <c r="Z1993" t="s">
        <v>172</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25">
      <c r="X1994">
        <v>12</v>
      </c>
      <c r="Y1994" t="s">
        <v>760</v>
      </c>
      <c r="Z1994" t="s">
        <v>174</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25">
      <c r="X1995">
        <v>12</v>
      </c>
      <c r="Y1995" t="s">
        <v>761</v>
      </c>
      <c r="Z1995" t="s">
        <v>762</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25">
      <c r="X1996">
        <v>12</v>
      </c>
      <c r="Y1996" t="s">
        <v>763</v>
      </c>
      <c r="Z1996" t="s">
        <v>178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25">
      <c r="X1997">
        <v>12</v>
      </c>
      <c r="Y1997" t="s">
        <v>764</v>
      </c>
      <c r="Z1997" t="s">
        <v>109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25">
      <c r="X1998">
        <v>12</v>
      </c>
      <c r="Y1998" t="s">
        <v>765</v>
      </c>
      <c r="Z1998" t="s">
        <v>117</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25">
      <c r="X1999">
        <v>12</v>
      </c>
      <c r="Y1999" t="s">
        <v>766</v>
      </c>
      <c r="Z1999" t="s">
        <v>767</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25">
      <c r="X2000">
        <v>12</v>
      </c>
      <c r="Y2000" t="s">
        <v>768</v>
      </c>
      <c r="Z2000" t="s">
        <v>182</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25">
      <c r="X2001">
        <v>12</v>
      </c>
      <c r="Y2001" t="s">
        <v>769</v>
      </c>
      <c r="Z2001" t="s">
        <v>184</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25">
      <c r="X2002">
        <v>12</v>
      </c>
      <c r="Y2002" t="s">
        <v>770</v>
      </c>
      <c r="Z2002" t="s">
        <v>186</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25">
      <c r="X2003">
        <v>12</v>
      </c>
      <c r="Y2003" t="s">
        <v>771</v>
      </c>
      <c r="Z2003" t="s">
        <v>772</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25">
      <c r="X2004">
        <v>12</v>
      </c>
      <c r="Y2004" t="s">
        <v>773</v>
      </c>
      <c r="Z2004" t="s">
        <v>190</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25">
      <c r="X2005">
        <v>12</v>
      </c>
      <c r="Y2005" t="s">
        <v>709</v>
      </c>
      <c r="Z2005" t="s">
        <v>192</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25">
      <c r="X2006">
        <v>12</v>
      </c>
      <c r="Y2006" t="s">
        <v>774</v>
      </c>
      <c r="Z2006" t="s">
        <v>194</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25">
      <c r="X2007">
        <v>12</v>
      </c>
      <c r="Y2007" t="s">
        <v>775</v>
      </c>
      <c r="Z2007" t="s">
        <v>196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25">
      <c r="X2008">
        <v>12</v>
      </c>
      <c r="Y2008" t="s">
        <v>776</v>
      </c>
      <c r="Z2008" t="s">
        <v>605</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25">
      <c r="X2009">
        <v>12</v>
      </c>
      <c r="Y2009" t="s">
        <v>711</v>
      </c>
      <c r="Z2009" t="s">
        <v>200</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25">
      <c r="X2010">
        <v>12</v>
      </c>
      <c r="Y2010" t="s">
        <v>777</v>
      </c>
      <c r="Z2010" t="s">
        <v>202</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25">
      <c r="X2011">
        <v>12</v>
      </c>
      <c r="Y2011" t="s">
        <v>778</v>
      </c>
      <c r="Z2011" t="s">
        <v>204</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25">
      <c r="X2012">
        <v>12</v>
      </c>
      <c r="Y2012" t="s">
        <v>779</v>
      </c>
      <c r="Z2012" t="s">
        <v>605</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25">
      <c r="X2013">
        <v>12</v>
      </c>
      <c r="Y2013" t="s">
        <v>712</v>
      </c>
      <c r="Z2013" t="s">
        <v>780</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25">
      <c r="X2014">
        <v>12</v>
      </c>
      <c r="Y2014" t="s">
        <v>781</v>
      </c>
      <c r="Z2014" t="s">
        <v>782</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25">
      <c r="X2015">
        <v>12</v>
      </c>
      <c r="Y2015" t="s">
        <v>783</v>
      </c>
      <c r="Z2015" t="s">
        <v>784</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25">
      <c r="X2016">
        <v>12</v>
      </c>
      <c r="Y2016" t="s">
        <v>785</v>
      </c>
      <c r="Z2016" t="s">
        <v>786</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25">
      <c r="X2017">
        <v>12</v>
      </c>
      <c r="Y2017" t="s">
        <v>787</v>
      </c>
      <c r="Z2017" t="s">
        <v>633</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25">
      <c r="X2018">
        <v>12</v>
      </c>
      <c r="Y2018" s="53" t="s">
        <v>753</v>
      </c>
      <c r="Z2018" s="53" t="s">
        <v>162</v>
      </c>
      <c r="AA2018" s="53" t="str">
        <f>IF(OR(VLOOKUP(Table1[[#This Row],[sheet]],Prg!$A$7:$F$31,6,FALSE)=Prg!$O$2,VLOOKUP(Table1[[#This Row],[sheet]],Prg!$A$7:$F$31,6,FALSE)=Prg!$O$3),"Yes","No")</f>
        <v>No</v>
      </c>
      <c r="AB2018" s="53">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25">
      <c r="X2019">
        <v>12</v>
      </c>
      <c r="Y2019" t="s">
        <v>754</v>
      </c>
      <c r="Z2019" t="s">
        <v>164</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25">
      <c r="X2020">
        <v>12</v>
      </c>
      <c r="Y2020" t="s">
        <v>755</v>
      </c>
      <c r="Z2020" t="s">
        <v>166</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25">
      <c r="X2021">
        <v>12</v>
      </c>
      <c r="Y2021" t="s">
        <v>756</v>
      </c>
      <c r="Z2021" t="s">
        <v>757</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25">
      <c r="X2022">
        <v>12</v>
      </c>
      <c r="Y2022" t="s">
        <v>758</v>
      </c>
      <c r="Z2022" t="s">
        <v>170</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25">
      <c r="X2023">
        <v>12</v>
      </c>
      <c r="Y2023" t="s">
        <v>759</v>
      </c>
      <c r="Z2023" t="s">
        <v>172</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25">
      <c r="X2024">
        <v>12</v>
      </c>
      <c r="Y2024" t="s">
        <v>760</v>
      </c>
      <c r="Z2024" t="s">
        <v>174</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25">
      <c r="X2025">
        <v>12</v>
      </c>
      <c r="Y2025" t="s">
        <v>761</v>
      </c>
      <c r="Z2025" t="s">
        <v>762</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25">
      <c r="X2026">
        <v>12</v>
      </c>
      <c r="Y2026" t="s">
        <v>763</v>
      </c>
      <c r="Z2026" t="s">
        <v>178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25">
      <c r="X2027">
        <v>12</v>
      </c>
      <c r="Y2027" t="s">
        <v>764</v>
      </c>
      <c r="Z2027" t="s">
        <v>109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25">
      <c r="X2028">
        <v>12</v>
      </c>
      <c r="Y2028" t="s">
        <v>765</v>
      </c>
      <c r="Z2028" t="s">
        <v>117</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25">
      <c r="X2029">
        <v>12</v>
      </c>
      <c r="Y2029" t="s">
        <v>766</v>
      </c>
      <c r="Z2029" t="s">
        <v>767</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25">
      <c r="X2030">
        <v>12</v>
      </c>
      <c r="Y2030" t="s">
        <v>768</v>
      </c>
      <c r="Z2030" t="s">
        <v>182</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25">
      <c r="X2031">
        <v>12</v>
      </c>
      <c r="Y2031" t="s">
        <v>769</v>
      </c>
      <c r="Z2031" t="s">
        <v>184</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25">
      <c r="X2032">
        <v>12</v>
      </c>
      <c r="Y2032" t="s">
        <v>770</v>
      </c>
      <c r="Z2032" t="s">
        <v>186</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25">
      <c r="X2033">
        <v>12</v>
      </c>
      <c r="Y2033" t="s">
        <v>771</v>
      </c>
      <c r="Z2033" t="s">
        <v>772</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25">
      <c r="X2034">
        <v>12</v>
      </c>
      <c r="Y2034" t="s">
        <v>773</v>
      </c>
      <c r="Z2034" t="s">
        <v>190</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25">
      <c r="X2035">
        <v>12</v>
      </c>
      <c r="Y2035" t="s">
        <v>709</v>
      </c>
      <c r="Z2035" t="s">
        <v>192</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25">
      <c r="X2036">
        <v>12</v>
      </c>
      <c r="Y2036" t="s">
        <v>774</v>
      </c>
      <c r="Z2036" t="s">
        <v>194</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25">
      <c r="X2037">
        <v>12</v>
      </c>
      <c r="Y2037" t="s">
        <v>775</v>
      </c>
      <c r="Z2037" t="s">
        <v>196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25">
      <c r="X2038">
        <v>12</v>
      </c>
      <c r="Y2038" t="s">
        <v>776</v>
      </c>
      <c r="Z2038" t="s">
        <v>605</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25">
      <c r="X2039">
        <v>12</v>
      </c>
      <c r="Y2039" t="s">
        <v>711</v>
      </c>
      <c r="Z2039" t="s">
        <v>200</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25">
      <c r="X2040">
        <v>12</v>
      </c>
      <c r="Y2040" t="s">
        <v>777</v>
      </c>
      <c r="Z2040" t="s">
        <v>202</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25">
      <c r="X2041">
        <v>12</v>
      </c>
      <c r="Y2041" t="s">
        <v>778</v>
      </c>
      <c r="Z2041" t="s">
        <v>204</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25">
      <c r="X2042">
        <v>12</v>
      </c>
      <c r="Y2042" t="s">
        <v>779</v>
      </c>
      <c r="Z2042" t="s">
        <v>605</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25">
      <c r="X2043">
        <v>12</v>
      </c>
      <c r="Y2043" t="s">
        <v>712</v>
      </c>
      <c r="Z2043" t="s">
        <v>780</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25">
      <c r="X2044">
        <v>12</v>
      </c>
      <c r="Y2044" t="s">
        <v>781</v>
      </c>
      <c r="Z2044" t="s">
        <v>782</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25">
      <c r="X2045">
        <v>12</v>
      </c>
      <c r="Y2045" t="s">
        <v>783</v>
      </c>
      <c r="Z2045" t="s">
        <v>784</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25">
      <c r="X2046">
        <v>12</v>
      </c>
      <c r="Y2046" t="s">
        <v>785</v>
      </c>
      <c r="Z2046" t="s">
        <v>786</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25">
      <c r="X2047">
        <v>12</v>
      </c>
      <c r="Y2047" t="s">
        <v>787</v>
      </c>
      <c r="Z2047" t="s">
        <v>633</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25">
      <c r="X2048">
        <v>12</v>
      </c>
      <c r="Y2048" s="53" t="s">
        <v>753</v>
      </c>
      <c r="Z2048" s="53" t="s">
        <v>162</v>
      </c>
      <c r="AA2048" s="53" t="str">
        <f>IF(OR(VLOOKUP(Table1[[#This Row],[sheet]],Prg!$A$7:$F$31,6,FALSE)=Prg!$O$2,VLOOKUP(Table1[[#This Row],[sheet]],Prg!$A$7:$F$31,6,FALSE)=Prg!$O$3),"Yes","No")</f>
        <v>No</v>
      </c>
      <c r="AB2048" s="53">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25">
      <c r="X2049">
        <v>12</v>
      </c>
      <c r="Y2049" t="s">
        <v>754</v>
      </c>
      <c r="Z2049" t="s">
        <v>164</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25">
      <c r="X2050">
        <v>12</v>
      </c>
      <c r="Y2050" t="s">
        <v>755</v>
      </c>
      <c r="Z2050" t="s">
        <v>166</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25">
      <c r="X2051">
        <v>12</v>
      </c>
      <c r="Y2051" t="s">
        <v>756</v>
      </c>
      <c r="Z2051" t="s">
        <v>757</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25">
      <c r="X2052">
        <v>12</v>
      </c>
      <c r="Y2052" t="s">
        <v>758</v>
      </c>
      <c r="Z2052" t="s">
        <v>170</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25">
      <c r="X2053">
        <v>12</v>
      </c>
      <c r="Y2053" t="s">
        <v>759</v>
      </c>
      <c r="Z2053" t="s">
        <v>172</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25">
      <c r="X2054">
        <v>12</v>
      </c>
      <c r="Y2054" t="s">
        <v>760</v>
      </c>
      <c r="Z2054" t="s">
        <v>174</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25">
      <c r="X2055">
        <v>12</v>
      </c>
      <c r="Y2055" t="s">
        <v>761</v>
      </c>
      <c r="Z2055" t="s">
        <v>762</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25">
      <c r="X2056">
        <v>12</v>
      </c>
      <c r="Y2056" t="s">
        <v>763</v>
      </c>
      <c r="Z2056" t="s">
        <v>178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25">
      <c r="X2057">
        <v>12</v>
      </c>
      <c r="Y2057" t="s">
        <v>764</v>
      </c>
      <c r="Z2057" t="s">
        <v>109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25">
      <c r="X2058">
        <v>12</v>
      </c>
      <c r="Y2058" t="s">
        <v>765</v>
      </c>
      <c r="Z2058" t="s">
        <v>117</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25">
      <c r="X2059">
        <v>12</v>
      </c>
      <c r="Y2059" t="s">
        <v>766</v>
      </c>
      <c r="Z2059" t="s">
        <v>767</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25">
      <c r="X2060">
        <v>12</v>
      </c>
      <c r="Y2060" t="s">
        <v>768</v>
      </c>
      <c r="Z2060" t="s">
        <v>182</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25">
      <c r="X2061">
        <v>12</v>
      </c>
      <c r="Y2061" t="s">
        <v>769</v>
      </c>
      <c r="Z2061" t="s">
        <v>184</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25">
      <c r="X2062">
        <v>12</v>
      </c>
      <c r="Y2062" t="s">
        <v>770</v>
      </c>
      <c r="Z2062" t="s">
        <v>186</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25">
      <c r="X2063">
        <v>12</v>
      </c>
      <c r="Y2063" t="s">
        <v>771</v>
      </c>
      <c r="Z2063" t="s">
        <v>772</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25">
      <c r="X2064">
        <v>12</v>
      </c>
      <c r="Y2064" t="s">
        <v>773</v>
      </c>
      <c r="Z2064" t="s">
        <v>190</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25">
      <c r="X2065">
        <v>12</v>
      </c>
      <c r="Y2065" t="s">
        <v>709</v>
      </c>
      <c r="Z2065" t="s">
        <v>192</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25">
      <c r="X2066">
        <v>12</v>
      </c>
      <c r="Y2066" t="s">
        <v>774</v>
      </c>
      <c r="Z2066" t="s">
        <v>194</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25">
      <c r="X2067">
        <v>12</v>
      </c>
      <c r="Y2067" t="s">
        <v>775</v>
      </c>
      <c r="Z2067" t="s">
        <v>196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25">
      <c r="X2068">
        <v>12</v>
      </c>
      <c r="Y2068" t="s">
        <v>776</v>
      </c>
      <c r="Z2068" t="s">
        <v>605</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25">
      <c r="X2069">
        <v>12</v>
      </c>
      <c r="Y2069" t="s">
        <v>711</v>
      </c>
      <c r="Z2069" t="s">
        <v>200</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25">
      <c r="X2070">
        <v>12</v>
      </c>
      <c r="Y2070" t="s">
        <v>777</v>
      </c>
      <c r="Z2070" t="s">
        <v>202</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25">
      <c r="X2071">
        <v>12</v>
      </c>
      <c r="Y2071" t="s">
        <v>778</v>
      </c>
      <c r="Z2071" t="s">
        <v>204</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25">
      <c r="X2072">
        <v>12</v>
      </c>
      <c r="Y2072" t="s">
        <v>779</v>
      </c>
      <c r="Z2072" t="s">
        <v>605</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25">
      <c r="X2073">
        <v>12</v>
      </c>
      <c r="Y2073" t="s">
        <v>712</v>
      </c>
      <c r="Z2073" t="s">
        <v>780</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25">
      <c r="X2074">
        <v>12</v>
      </c>
      <c r="Y2074" t="s">
        <v>781</v>
      </c>
      <c r="Z2074" t="s">
        <v>782</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25">
      <c r="X2075">
        <v>12</v>
      </c>
      <c r="Y2075" t="s">
        <v>783</v>
      </c>
      <c r="Z2075" t="s">
        <v>784</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25">
      <c r="X2076">
        <v>12</v>
      </c>
      <c r="Y2076" t="s">
        <v>785</v>
      </c>
      <c r="Z2076" t="s">
        <v>786</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25">
      <c r="X2077">
        <v>12</v>
      </c>
      <c r="Y2077" t="s">
        <v>787</v>
      </c>
      <c r="Z2077" t="s">
        <v>633</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25">
      <c r="X2078">
        <v>12</v>
      </c>
      <c r="Y2078" s="53" t="s">
        <v>753</v>
      </c>
      <c r="Z2078" s="53" t="s">
        <v>162</v>
      </c>
      <c r="AA2078" s="53" t="str">
        <f>IF(OR(VLOOKUP(Table1[[#This Row],[sheet]],Prg!$A$7:$F$31,6,FALSE)=Prg!$O$2,VLOOKUP(Table1[[#This Row],[sheet]],Prg!$A$7:$F$31,6,FALSE)=Prg!$O$3),"Yes","No")</f>
        <v>No</v>
      </c>
      <c r="AB2078" s="53">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25">
      <c r="X2079">
        <v>12</v>
      </c>
      <c r="Y2079" t="s">
        <v>754</v>
      </c>
      <c r="Z2079" t="s">
        <v>164</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25">
      <c r="X2080">
        <v>12</v>
      </c>
      <c r="Y2080" t="s">
        <v>755</v>
      </c>
      <c r="Z2080" t="s">
        <v>166</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25">
      <c r="X2081">
        <v>12</v>
      </c>
      <c r="Y2081" t="s">
        <v>756</v>
      </c>
      <c r="Z2081" t="s">
        <v>757</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25">
      <c r="X2082">
        <v>12</v>
      </c>
      <c r="Y2082" t="s">
        <v>758</v>
      </c>
      <c r="Z2082" t="s">
        <v>170</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25">
      <c r="X2083">
        <v>12</v>
      </c>
      <c r="Y2083" t="s">
        <v>759</v>
      </c>
      <c r="Z2083" t="s">
        <v>172</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25">
      <c r="X2084">
        <v>12</v>
      </c>
      <c r="Y2084" t="s">
        <v>760</v>
      </c>
      <c r="Z2084" t="s">
        <v>174</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25">
      <c r="X2085">
        <v>12</v>
      </c>
      <c r="Y2085" t="s">
        <v>761</v>
      </c>
      <c r="Z2085" t="s">
        <v>762</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25">
      <c r="X2086">
        <v>12</v>
      </c>
      <c r="Y2086" t="s">
        <v>763</v>
      </c>
      <c r="Z2086" t="s">
        <v>178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25">
      <c r="X2087">
        <v>12</v>
      </c>
      <c r="Y2087" t="s">
        <v>764</v>
      </c>
      <c r="Z2087" t="s">
        <v>109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25">
      <c r="X2088">
        <v>12</v>
      </c>
      <c r="Y2088" t="s">
        <v>765</v>
      </c>
      <c r="Z2088" t="s">
        <v>117</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25">
      <c r="X2089">
        <v>12</v>
      </c>
      <c r="Y2089" t="s">
        <v>766</v>
      </c>
      <c r="Z2089" t="s">
        <v>767</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25">
      <c r="X2090">
        <v>12</v>
      </c>
      <c r="Y2090" t="s">
        <v>768</v>
      </c>
      <c r="Z2090" t="s">
        <v>182</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25">
      <c r="X2091">
        <v>12</v>
      </c>
      <c r="Y2091" t="s">
        <v>769</v>
      </c>
      <c r="Z2091" t="s">
        <v>184</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25">
      <c r="X2092">
        <v>12</v>
      </c>
      <c r="Y2092" t="s">
        <v>770</v>
      </c>
      <c r="Z2092" t="s">
        <v>186</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25">
      <c r="X2093">
        <v>12</v>
      </c>
      <c r="Y2093" t="s">
        <v>771</v>
      </c>
      <c r="Z2093" t="s">
        <v>772</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25">
      <c r="X2094">
        <v>12</v>
      </c>
      <c r="Y2094" t="s">
        <v>773</v>
      </c>
      <c r="Z2094" t="s">
        <v>190</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25">
      <c r="X2095">
        <v>12</v>
      </c>
      <c r="Y2095" t="s">
        <v>709</v>
      </c>
      <c r="Z2095" t="s">
        <v>192</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25">
      <c r="X2096">
        <v>12</v>
      </c>
      <c r="Y2096" t="s">
        <v>774</v>
      </c>
      <c r="Z2096" t="s">
        <v>194</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25">
      <c r="X2097">
        <v>12</v>
      </c>
      <c r="Y2097" t="s">
        <v>775</v>
      </c>
      <c r="Z2097" t="s">
        <v>196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25">
      <c r="X2098">
        <v>12</v>
      </c>
      <c r="Y2098" t="s">
        <v>776</v>
      </c>
      <c r="Z2098" t="s">
        <v>605</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25">
      <c r="X2099">
        <v>12</v>
      </c>
      <c r="Y2099" t="s">
        <v>711</v>
      </c>
      <c r="Z2099" t="s">
        <v>200</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25">
      <c r="X2100">
        <v>12</v>
      </c>
      <c r="Y2100" t="s">
        <v>777</v>
      </c>
      <c r="Z2100" t="s">
        <v>202</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25">
      <c r="X2101">
        <v>12</v>
      </c>
      <c r="Y2101" t="s">
        <v>778</v>
      </c>
      <c r="Z2101" t="s">
        <v>204</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25">
      <c r="X2102">
        <v>12</v>
      </c>
      <c r="Y2102" t="s">
        <v>779</v>
      </c>
      <c r="Z2102" t="s">
        <v>605</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25">
      <c r="X2103">
        <v>12</v>
      </c>
      <c r="Y2103" t="s">
        <v>712</v>
      </c>
      <c r="Z2103" t="s">
        <v>780</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25">
      <c r="X2104">
        <v>12</v>
      </c>
      <c r="Y2104" t="s">
        <v>781</v>
      </c>
      <c r="Z2104" t="s">
        <v>782</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25">
      <c r="X2105">
        <v>12</v>
      </c>
      <c r="Y2105" t="s">
        <v>783</v>
      </c>
      <c r="Z2105" t="s">
        <v>784</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25">
      <c r="X2106">
        <v>12</v>
      </c>
      <c r="Y2106" t="s">
        <v>785</v>
      </c>
      <c r="Z2106" t="s">
        <v>786</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25">
      <c r="X2107">
        <v>12</v>
      </c>
      <c r="Y2107" t="s">
        <v>787</v>
      </c>
      <c r="Z2107" t="s">
        <v>633</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25">
      <c r="X2108">
        <v>12</v>
      </c>
      <c r="Y2108" s="53" t="s">
        <v>753</v>
      </c>
      <c r="Z2108" s="53" t="s">
        <v>162</v>
      </c>
      <c r="AA2108" s="53" t="str">
        <f>IF(OR(VLOOKUP(Table1[[#This Row],[sheet]],Prg!$A$7:$F$31,6,FALSE)=Prg!$O$2,VLOOKUP(Table1[[#This Row],[sheet]],Prg!$A$7:$F$31,6,FALSE)=Prg!$O$3),"Yes","No")</f>
        <v>No</v>
      </c>
      <c r="AB2108" s="53">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25">
      <c r="X2109">
        <v>12</v>
      </c>
      <c r="Y2109" t="s">
        <v>754</v>
      </c>
      <c r="Z2109" t="s">
        <v>164</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25">
      <c r="X2110">
        <v>12</v>
      </c>
      <c r="Y2110" t="s">
        <v>755</v>
      </c>
      <c r="Z2110" t="s">
        <v>166</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25">
      <c r="X2111">
        <v>12</v>
      </c>
      <c r="Y2111" t="s">
        <v>756</v>
      </c>
      <c r="Z2111" t="s">
        <v>757</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25">
      <c r="X2112">
        <v>12</v>
      </c>
      <c r="Y2112" t="s">
        <v>758</v>
      </c>
      <c r="Z2112" t="s">
        <v>170</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25">
      <c r="X2113">
        <v>12</v>
      </c>
      <c r="Y2113" t="s">
        <v>759</v>
      </c>
      <c r="Z2113" t="s">
        <v>172</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25">
      <c r="X2114">
        <v>12</v>
      </c>
      <c r="Y2114" t="s">
        <v>760</v>
      </c>
      <c r="Z2114" t="s">
        <v>174</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25">
      <c r="X2115">
        <v>12</v>
      </c>
      <c r="Y2115" t="s">
        <v>761</v>
      </c>
      <c r="Z2115" t="s">
        <v>762</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25">
      <c r="X2116">
        <v>12</v>
      </c>
      <c r="Y2116" t="s">
        <v>763</v>
      </c>
      <c r="Z2116" t="s">
        <v>178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25">
      <c r="X2117">
        <v>12</v>
      </c>
      <c r="Y2117" t="s">
        <v>764</v>
      </c>
      <c r="Z2117" t="s">
        <v>109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25">
      <c r="X2118">
        <v>12</v>
      </c>
      <c r="Y2118" t="s">
        <v>765</v>
      </c>
      <c r="Z2118" t="s">
        <v>117</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25">
      <c r="X2119">
        <v>12</v>
      </c>
      <c r="Y2119" t="s">
        <v>766</v>
      </c>
      <c r="Z2119" t="s">
        <v>767</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25">
      <c r="X2120">
        <v>12</v>
      </c>
      <c r="Y2120" t="s">
        <v>768</v>
      </c>
      <c r="Z2120" t="s">
        <v>182</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25">
      <c r="X2121">
        <v>12</v>
      </c>
      <c r="Y2121" t="s">
        <v>769</v>
      </c>
      <c r="Z2121" t="s">
        <v>184</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25">
      <c r="X2122">
        <v>12</v>
      </c>
      <c r="Y2122" t="s">
        <v>770</v>
      </c>
      <c r="Z2122" t="s">
        <v>186</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25">
      <c r="X2123">
        <v>12</v>
      </c>
      <c r="Y2123" t="s">
        <v>771</v>
      </c>
      <c r="Z2123" t="s">
        <v>772</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25">
      <c r="X2124">
        <v>12</v>
      </c>
      <c r="Y2124" t="s">
        <v>773</v>
      </c>
      <c r="Z2124" t="s">
        <v>190</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25">
      <c r="X2125">
        <v>12</v>
      </c>
      <c r="Y2125" t="s">
        <v>709</v>
      </c>
      <c r="Z2125" t="s">
        <v>192</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25">
      <c r="X2126">
        <v>12</v>
      </c>
      <c r="Y2126" t="s">
        <v>774</v>
      </c>
      <c r="Z2126" t="s">
        <v>194</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25">
      <c r="X2127">
        <v>12</v>
      </c>
      <c r="Y2127" t="s">
        <v>775</v>
      </c>
      <c r="Z2127" t="s">
        <v>196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25">
      <c r="X2128">
        <v>12</v>
      </c>
      <c r="Y2128" t="s">
        <v>776</v>
      </c>
      <c r="Z2128" t="s">
        <v>605</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25">
      <c r="X2129">
        <v>12</v>
      </c>
      <c r="Y2129" t="s">
        <v>711</v>
      </c>
      <c r="Z2129" t="s">
        <v>200</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25">
      <c r="X2130">
        <v>12</v>
      </c>
      <c r="Y2130" t="s">
        <v>777</v>
      </c>
      <c r="Z2130" t="s">
        <v>202</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25">
      <c r="X2131">
        <v>12</v>
      </c>
      <c r="Y2131" t="s">
        <v>778</v>
      </c>
      <c r="Z2131" t="s">
        <v>204</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25">
      <c r="X2132">
        <v>12</v>
      </c>
      <c r="Y2132" t="s">
        <v>779</v>
      </c>
      <c r="Z2132" t="s">
        <v>605</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25">
      <c r="X2133">
        <v>12</v>
      </c>
      <c r="Y2133" t="s">
        <v>712</v>
      </c>
      <c r="Z2133" t="s">
        <v>780</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25">
      <c r="X2134">
        <v>12</v>
      </c>
      <c r="Y2134" t="s">
        <v>781</v>
      </c>
      <c r="Z2134" t="s">
        <v>782</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25">
      <c r="X2135">
        <v>12</v>
      </c>
      <c r="Y2135" t="s">
        <v>783</v>
      </c>
      <c r="Z2135" t="s">
        <v>784</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25">
      <c r="X2136">
        <v>12</v>
      </c>
      <c r="Y2136" t="s">
        <v>785</v>
      </c>
      <c r="Z2136" t="s">
        <v>786</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25">
      <c r="X2137">
        <v>12</v>
      </c>
      <c r="Y2137" t="s">
        <v>787</v>
      </c>
      <c r="Z2137" t="s">
        <v>633</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25">
      <c r="X2138">
        <v>12</v>
      </c>
      <c r="Y2138" s="53" t="s">
        <v>753</v>
      </c>
      <c r="Z2138" s="53" t="s">
        <v>162</v>
      </c>
      <c r="AA2138" s="53" t="str">
        <f>IF(OR(VLOOKUP(Table1[[#This Row],[sheet]],Prg!$A$7:$F$31,6,FALSE)=Prg!$O$2,VLOOKUP(Table1[[#This Row],[sheet]],Prg!$A$7:$F$31,6,FALSE)=Prg!$O$3),"Yes","No")</f>
        <v>No</v>
      </c>
      <c r="AB2138" s="53" t="s">
        <v>78</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25">
      <c r="X2139">
        <v>12</v>
      </c>
      <c r="Y2139" t="s">
        <v>754</v>
      </c>
      <c r="Z2139" t="s">
        <v>164</v>
      </c>
      <c r="AA2139" t="str">
        <f>IF(OR(VLOOKUP(Table1[[#This Row],[sheet]],Prg!$A$7:$F$31,6,FALSE)=Prg!$O$2,VLOOKUP(Table1[[#This Row],[sheet]],Prg!$A$7:$F$31,6,FALSE)=Prg!$O$3),"Yes","No")</f>
        <v>No</v>
      </c>
      <c r="AB2139" t="s">
        <v>78</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25">
      <c r="X2140">
        <v>12</v>
      </c>
      <c r="Y2140" t="s">
        <v>755</v>
      </c>
      <c r="Z2140" t="s">
        <v>166</v>
      </c>
      <c r="AA2140" t="str">
        <f>IF(OR(VLOOKUP(Table1[[#This Row],[sheet]],Prg!$A$7:$F$31,6,FALSE)=Prg!$O$2,VLOOKUP(Table1[[#This Row],[sheet]],Prg!$A$7:$F$31,6,FALSE)=Prg!$O$3),"Yes","No")</f>
        <v>No</v>
      </c>
      <c r="AB2140" t="s">
        <v>78</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25">
      <c r="X2141">
        <v>12</v>
      </c>
      <c r="Y2141" t="s">
        <v>756</v>
      </c>
      <c r="Z2141" t="s">
        <v>757</v>
      </c>
      <c r="AA2141" t="str">
        <f>IF(OR(VLOOKUP(Table1[[#This Row],[sheet]],Prg!$A$7:$F$31,6,FALSE)=Prg!$O$2,VLOOKUP(Table1[[#This Row],[sheet]],Prg!$A$7:$F$31,6,FALSE)=Prg!$O$3),"Yes","No")</f>
        <v>No</v>
      </c>
      <c r="AB2141" t="s">
        <v>78</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25">
      <c r="X2142">
        <v>12</v>
      </c>
      <c r="Y2142" t="s">
        <v>758</v>
      </c>
      <c r="Z2142" t="s">
        <v>170</v>
      </c>
      <c r="AA2142" t="str">
        <f>IF(OR(VLOOKUP(Table1[[#This Row],[sheet]],Prg!$A$7:$F$31,6,FALSE)=Prg!$O$2,VLOOKUP(Table1[[#This Row],[sheet]],Prg!$A$7:$F$31,6,FALSE)=Prg!$O$3),"Yes","No")</f>
        <v>No</v>
      </c>
      <c r="AB2142" t="s">
        <v>78</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25">
      <c r="X2143">
        <v>12</v>
      </c>
      <c r="Y2143" t="s">
        <v>759</v>
      </c>
      <c r="Z2143" t="s">
        <v>172</v>
      </c>
      <c r="AA2143" t="str">
        <f>IF(OR(VLOOKUP(Table1[[#This Row],[sheet]],Prg!$A$7:$F$31,6,FALSE)=Prg!$O$2,VLOOKUP(Table1[[#This Row],[sheet]],Prg!$A$7:$F$31,6,FALSE)=Prg!$O$3),"Yes","No")</f>
        <v>No</v>
      </c>
      <c r="AB2143" t="s">
        <v>78</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25">
      <c r="X2144">
        <v>12</v>
      </c>
      <c r="Y2144" t="s">
        <v>760</v>
      </c>
      <c r="Z2144" t="s">
        <v>174</v>
      </c>
      <c r="AA2144" t="str">
        <f>IF(OR(VLOOKUP(Table1[[#This Row],[sheet]],Prg!$A$7:$F$31,6,FALSE)=Prg!$O$2,VLOOKUP(Table1[[#This Row],[sheet]],Prg!$A$7:$F$31,6,FALSE)=Prg!$O$3),"Yes","No")</f>
        <v>No</v>
      </c>
      <c r="AB2144" t="s">
        <v>78</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25">
      <c r="X2145">
        <v>12</v>
      </c>
      <c r="Y2145" t="s">
        <v>761</v>
      </c>
      <c r="Z2145" t="s">
        <v>762</v>
      </c>
      <c r="AA2145" t="str">
        <f>IF(OR(VLOOKUP(Table1[[#This Row],[sheet]],Prg!$A$7:$F$31,6,FALSE)=Prg!$O$2,VLOOKUP(Table1[[#This Row],[sheet]],Prg!$A$7:$F$31,6,FALSE)=Prg!$O$3),"Yes","No")</f>
        <v>No</v>
      </c>
      <c r="AB2145" t="s">
        <v>78</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25">
      <c r="X2146">
        <v>12</v>
      </c>
      <c r="Y2146" t="s">
        <v>763</v>
      </c>
      <c r="Z2146" t="s">
        <v>178</v>
      </c>
      <c r="AA2146" t="str">
        <f>IF(OR(VLOOKUP(Table1[[#This Row],[sheet]],Prg!$A$7:$F$31,6,FALSE)=Prg!$O$2,VLOOKUP(Table1[[#This Row],[sheet]],Prg!$A$7:$F$31,6,FALSE)=Prg!$O$3),"Yes","No")</f>
        <v>No</v>
      </c>
      <c r="AB2146" t="s">
        <v>78</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25">
      <c r="X2147">
        <v>12</v>
      </c>
      <c r="Y2147" t="s">
        <v>764</v>
      </c>
      <c r="Z2147" t="s">
        <v>109</v>
      </c>
      <c r="AA2147" t="str">
        <f>IF(OR(VLOOKUP(Table1[[#This Row],[sheet]],Prg!$A$7:$F$31,6,FALSE)=Prg!$O$2,VLOOKUP(Table1[[#This Row],[sheet]],Prg!$A$7:$F$31,6,FALSE)=Prg!$O$3),"Yes","No")</f>
        <v>No</v>
      </c>
      <c r="AB2147" t="s">
        <v>78</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25">
      <c r="X2148">
        <v>12</v>
      </c>
      <c r="Y2148" t="s">
        <v>765</v>
      </c>
      <c r="Z2148" t="s">
        <v>117</v>
      </c>
      <c r="AA2148" t="str">
        <f>IF(OR(VLOOKUP(Table1[[#This Row],[sheet]],Prg!$A$7:$F$31,6,FALSE)=Prg!$O$2,VLOOKUP(Table1[[#This Row],[sheet]],Prg!$A$7:$F$31,6,FALSE)=Prg!$O$3),"Yes","No")</f>
        <v>No</v>
      </c>
      <c r="AB2148" t="s">
        <v>78</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25">
      <c r="X2149">
        <v>12</v>
      </c>
      <c r="Y2149" t="s">
        <v>766</v>
      </c>
      <c r="Z2149" t="s">
        <v>767</v>
      </c>
      <c r="AA2149" t="str">
        <f>IF(OR(VLOOKUP(Table1[[#This Row],[sheet]],Prg!$A$7:$F$31,6,FALSE)=Prg!$O$2,VLOOKUP(Table1[[#This Row],[sheet]],Prg!$A$7:$F$31,6,FALSE)=Prg!$O$3),"Yes","No")</f>
        <v>No</v>
      </c>
      <c r="AB2149" t="s">
        <v>78</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25">
      <c r="X2150">
        <v>12</v>
      </c>
      <c r="Y2150" t="s">
        <v>768</v>
      </c>
      <c r="Z2150" t="s">
        <v>182</v>
      </c>
      <c r="AA2150" t="str">
        <f>IF(OR(VLOOKUP(Table1[[#This Row],[sheet]],Prg!$A$7:$F$31,6,FALSE)=Prg!$O$2,VLOOKUP(Table1[[#This Row],[sheet]],Prg!$A$7:$F$31,6,FALSE)=Prg!$O$3),"Yes","No")</f>
        <v>No</v>
      </c>
      <c r="AB2150" t="s">
        <v>78</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25">
      <c r="X2151">
        <v>12</v>
      </c>
      <c r="Y2151" t="s">
        <v>769</v>
      </c>
      <c r="Z2151" t="s">
        <v>184</v>
      </c>
      <c r="AA2151" t="str">
        <f>IF(OR(VLOOKUP(Table1[[#This Row],[sheet]],Prg!$A$7:$F$31,6,FALSE)=Prg!$O$2,VLOOKUP(Table1[[#This Row],[sheet]],Prg!$A$7:$F$31,6,FALSE)=Prg!$O$3),"Yes","No")</f>
        <v>No</v>
      </c>
      <c r="AB2151" t="s">
        <v>78</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25">
      <c r="X2152">
        <v>12</v>
      </c>
      <c r="Y2152" t="s">
        <v>770</v>
      </c>
      <c r="Z2152" t="s">
        <v>186</v>
      </c>
      <c r="AA2152" t="str">
        <f>IF(OR(VLOOKUP(Table1[[#This Row],[sheet]],Prg!$A$7:$F$31,6,FALSE)=Prg!$O$2,VLOOKUP(Table1[[#This Row],[sheet]],Prg!$A$7:$F$31,6,FALSE)=Prg!$O$3),"Yes","No")</f>
        <v>No</v>
      </c>
      <c r="AB2152" t="s">
        <v>78</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25">
      <c r="X2153">
        <v>12</v>
      </c>
      <c r="Y2153" t="s">
        <v>771</v>
      </c>
      <c r="Z2153" t="s">
        <v>772</v>
      </c>
      <c r="AA2153" t="str">
        <f>IF(OR(VLOOKUP(Table1[[#This Row],[sheet]],Prg!$A$7:$F$31,6,FALSE)=Prg!$O$2,VLOOKUP(Table1[[#This Row],[sheet]],Prg!$A$7:$F$31,6,FALSE)=Prg!$O$3),"Yes","No")</f>
        <v>No</v>
      </c>
      <c r="AB2153" t="s">
        <v>78</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25">
      <c r="X2154">
        <v>12</v>
      </c>
      <c r="Y2154" t="s">
        <v>773</v>
      </c>
      <c r="Z2154" t="s">
        <v>190</v>
      </c>
      <c r="AA2154" t="str">
        <f>IF(OR(VLOOKUP(Table1[[#This Row],[sheet]],Prg!$A$7:$F$31,6,FALSE)=Prg!$O$2,VLOOKUP(Table1[[#This Row],[sheet]],Prg!$A$7:$F$31,6,FALSE)=Prg!$O$3),"Yes","No")</f>
        <v>No</v>
      </c>
      <c r="AB2154" t="s">
        <v>78</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25">
      <c r="X2155">
        <v>12</v>
      </c>
      <c r="Y2155" t="s">
        <v>709</v>
      </c>
      <c r="Z2155" t="s">
        <v>192</v>
      </c>
      <c r="AA2155" t="str">
        <f>IF(OR(VLOOKUP(Table1[[#This Row],[sheet]],Prg!$A$7:$F$31,6,FALSE)=Prg!$O$2,VLOOKUP(Table1[[#This Row],[sheet]],Prg!$A$7:$F$31,6,FALSE)=Prg!$O$3),"Yes","No")</f>
        <v>No</v>
      </c>
      <c r="AB2155" t="s">
        <v>78</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25">
      <c r="X2156">
        <v>12</v>
      </c>
      <c r="Y2156" t="s">
        <v>774</v>
      </c>
      <c r="Z2156" t="s">
        <v>194</v>
      </c>
      <c r="AA2156" t="str">
        <f>IF(OR(VLOOKUP(Table1[[#This Row],[sheet]],Prg!$A$7:$F$31,6,FALSE)=Prg!$O$2,VLOOKUP(Table1[[#This Row],[sheet]],Prg!$A$7:$F$31,6,FALSE)=Prg!$O$3),"Yes","No")</f>
        <v>No</v>
      </c>
      <c r="AB2156" t="s">
        <v>78</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25">
      <c r="X2157">
        <v>12</v>
      </c>
      <c r="Y2157" t="s">
        <v>775</v>
      </c>
      <c r="Z2157" t="s">
        <v>196</v>
      </c>
      <c r="AA2157" t="str">
        <f>IF(OR(VLOOKUP(Table1[[#This Row],[sheet]],Prg!$A$7:$F$31,6,FALSE)=Prg!$O$2,VLOOKUP(Table1[[#This Row],[sheet]],Prg!$A$7:$F$31,6,FALSE)=Prg!$O$3),"Yes","No")</f>
        <v>No</v>
      </c>
      <c r="AB2157" t="s">
        <v>78</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25">
      <c r="X2158">
        <v>12</v>
      </c>
      <c r="Y2158" t="s">
        <v>776</v>
      </c>
      <c r="Z2158" t="s">
        <v>605</v>
      </c>
      <c r="AA2158" t="str">
        <f>IF(OR(VLOOKUP(Table1[[#This Row],[sheet]],Prg!$A$7:$F$31,6,FALSE)=Prg!$O$2,VLOOKUP(Table1[[#This Row],[sheet]],Prg!$A$7:$F$31,6,FALSE)=Prg!$O$3),"Yes","No")</f>
        <v>No</v>
      </c>
      <c r="AB2158" t="s">
        <v>78</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25">
      <c r="X2159">
        <v>12</v>
      </c>
      <c r="Y2159" t="s">
        <v>711</v>
      </c>
      <c r="Z2159" t="s">
        <v>200</v>
      </c>
      <c r="AA2159" t="str">
        <f>IF(OR(VLOOKUP(Table1[[#This Row],[sheet]],Prg!$A$7:$F$31,6,FALSE)=Prg!$O$2,VLOOKUP(Table1[[#This Row],[sheet]],Prg!$A$7:$F$31,6,FALSE)=Prg!$O$3),"Yes","No")</f>
        <v>No</v>
      </c>
      <c r="AB2159" t="s">
        <v>78</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25">
      <c r="X2160">
        <v>12</v>
      </c>
      <c r="Y2160" t="s">
        <v>777</v>
      </c>
      <c r="Z2160" t="s">
        <v>202</v>
      </c>
      <c r="AA2160" t="str">
        <f>IF(OR(VLOOKUP(Table1[[#This Row],[sheet]],Prg!$A$7:$F$31,6,FALSE)=Prg!$O$2,VLOOKUP(Table1[[#This Row],[sheet]],Prg!$A$7:$F$31,6,FALSE)=Prg!$O$3),"Yes","No")</f>
        <v>No</v>
      </c>
      <c r="AB2160" t="s">
        <v>78</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25">
      <c r="X2161">
        <v>12</v>
      </c>
      <c r="Y2161" t="s">
        <v>778</v>
      </c>
      <c r="Z2161" t="s">
        <v>204</v>
      </c>
      <c r="AA2161" t="str">
        <f>IF(OR(VLOOKUP(Table1[[#This Row],[sheet]],Prg!$A$7:$F$31,6,FALSE)=Prg!$O$2,VLOOKUP(Table1[[#This Row],[sheet]],Prg!$A$7:$F$31,6,FALSE)=Prg!$O$3),"Yes","No")</f>
        <v>No</v>
      </c>
      <c r="AB2161" t="s">
        <v>78</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25">
      <c r="X2162">
        <v>12</v>
      </c>
      <c r="Y2162" t="s">
        <v>779</v>
      </c>
      <c r="Z2162" t="s">
        <v>605</v>
      </c>
      <c r="AA2162" t="str">
        <f>IF(OR(VLOOKUP(Table1[[#This Row],[sheet]],Prg!$A$7:$F$31,6,FALSE)=Prg!$O$2,VLOOKUP(Table1[[#This Row],[sheet]],Prg!$A$7:$F$31,6,FALSE)=Prg!$O$3),"Yes","No")</f>
        <v>No</v>
      </c>
      <c r="AB2162" t="s">
        <v>78</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25">
      <c r="X2163">
        <v>12</v>
      </c>
      <c r="Y2163" t="s">
        <v>712</v>
      </c>
      <c r="Z2163" t="s">
        <v>780</v>
      </c>
      <c r="AA2163" t="str">
        <f>IF(OR(VLOOKUP(Table1[[#This Row],[sheet]],Prg!$A$7:$F$31,6,FALSE)=Prg!$O$2,VLOOKUP(Table1[[#This Row],[sheet]],Prg!$A$7:$F$31,6,FALSE)=Prg!$O$3),"Yes","No")</f>
        <v>No</v>
      </c>
      <c r="AB2163" t="s">
        <v>78</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25">
      <c r="X2164">
        <v>12</v>
      </c>
      <c r="Y2164" t="s">
        <v>781</v>
      </c>
      <c r="Z2164" t="s">
        <v>782</v>
      </c>
      <c r="AA2164" t="str">
        <f>IF(OR(VLOOKUP(Table1[[#This Row],[sheet]],Prg!$A$7:$F$31,6,FALSE)=Prg!$O$2,VLOOKUP(Table1[[#This Row],[sheet]],Prg!$A$7:$F$31,6,FALSE)=Prg!$O$3),"Yes","No")</f>
        <v>No</v>
      </c>
      <c r="AB2164" t="s">
        <v>78</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25">
      <c r="X2165">
        <v>12</v>
      </c>
      <c r="Y2165" t="s">
        <v>783</v>
      </c>
      <c r="Z2165" t="s">
        <v>784</v>
      </c>
      <c r="AA2165" t="str">
        <f>IF(OR(VLOOKUP(Table1[[#This Row],[sheet]],Prg!$A$7:$F$31,6,FALSE)=Prg!$O$2,VLOOKUP(Table1[[#This Row],[sheet]],Prg!$A$7:$F$31,6,FALSE)=Prg!$O$3),"Yes","No")</f>
        <v>No</v>
      </c>
      <c r="AB2165" t="s">
        <v>78</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25">
      <c r="X2166">
        <v>12</v>
      </c>
      <c r="Y2166" t="s">
        <v>785</v>
      </c>
      <c r="Z2166" t="s">
        <v>786</v>
      </c>
      <c r="AA2166" t="str">
        <f>IF(OR(VLOOKUP(Table1[[#This Row],[sheet]],Prg!$A$7:$F$31,6,FALSE)=Prg!$O$2,VLOOKUP(Table1[[#This Row],[sheet]],Prg!$A$7:$F$31,6,FALSE)=Prg!$O$3),"Yes","No")</f>
        <v>No</v>
      </c>
      <c r="AB2166" t="s">
        <v>78</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25">
      <c r="X2167">
        <v>12</v>
      </c>
      <c r="Y2167" t="s">
        <v>787</v>
      </c>
      <c r="Z2167" t="s">
        <v>633</v>
      </c>
      <c r="AA2167" t="str">
        <f>IF(OR(VLOOKUP(Table1[[#This Row],[sheet]],Prg!$A$7:$F$31,6,FALSE)=Prg!$O$2,VLOOKUP(Table1[[#This Row],[sheet]],Prg!$A$7:$F$31,6,FALSE)=Prg!$O$3),"Yes","No")</f>
        <v>No</v>
      </c>
      <c r="AB2167" t="s">
        <v>78</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25">
      <c r="X2168">
        <v>13</v>
      </c>
      <c r="Y2168" s="53" t="s">
        <v>753</v>
      </c>
      <c r="Z2168" s="53" t="s">
        <v>162</v>
      </c>
      <c r="AA2168" s="53" t="str">
        <f>IF(OR(VLOOKUP(Table1[[#This Row],[sheet]],Prg!$A$7:$F$31,6,FALSE)=Prg!$O$2,VLOOKUP(Table1[[#This Row],[sheet]],Prg!$A$7:$F$31,6,FALSE)=Prg!$O$3),"Yes","No")</f>
        <v>No</v>
      </c>
      <c r="AB2168" s="53">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25">
      <c r="X2169">
        <v>13</v>
      </c>
      <c r="Y2169" t="s">
        <v>754</v>
      </c>
      <c r="Z2169" t="s">
        <v>164</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25">
      <c r="X2170">
        <v>13</v>
      </c>
      <c r="Y2170" t="s">
        <v>755</v>
      </c>
      <c r="Z2170" t="s">
        <v>166</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25">
      <c r="X2171">
        <v>13</v>
      </c>
      <c r="Y2171" t="s">
        <v>756</v>
      </c>
      <c r="Z2171" t="s">
        <v>757</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25">
      <c r="X2172">
        <v>13</v>
      </c>
      <c r="Y2172" t="s">
        <v>758</v>
      </c>
      <c r="Z2172" t="s">
        <v>170</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25">
      <c r="X2173">
        <v>13</v>
      </c>
      <c r="Y2173" t="s">
        <v>759</v>
      </c>
      <c r="Z2173" t="s">
        <v>172</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25">
      <c r="X2174">
        <v>13</v>
      </c>
      <c r="Y2174" t="s">
        <v>760</v>
      </c>
      <c r="Z2174" t="s">
        <v>174</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25">
      <c r="X2175">
        <v>13</v>
      </c>
      <c r="Y2175" t="s">
        <v>761</v>
      </c>
      <c r="Z2175" t="s">
        <v>762</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25">
      <c r="X2176">
        <v>13</v>
      </c>
      <c r="Y2176" t="s">
        <v>763</v>
      </c>
      <c r="Z2176" t="s">
        <v>178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25">
      <c r="X2177">
        <v>13</v>
      </c>
      <c r="Y2177" t="s">
        <v>764</v>
      </c>
      <c r="Z2177" t="s">
        <v>109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25">
      <c r="X2178">
        <v>13</v>
      </c>
      <c r="Y2178" t="s">
        <v>765</v>
      </c>
      <c r="Z2178" t="s">
        <v>117</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25">
      <c r="X2179">
        <v>13</v>
      </c>
      <c r="Y2179" t="s">
        <v>766</v>
      </c>
      <c r="Z2179" t="s">
        <v>767</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25">
      <c r="X2180">
        <v>13</v>
      </c>
      <c r="Y2180" t="s">
        <v>768</v>
      </c>
      <c r="Z2180" t="s">
        <v>182</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25">
      <c r="X2181">
        <v>13</v>
      </c>
      <c r="Y2181" t="s">
        <v>769</v>
      </c>
      <c r="Z2181" t="s">
        <v>184</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25">
      <c r="X2182">
        <v>13</v>
      </c>
      <c r="Y2182" t="s">
        <v>770</v>
      </c>
      <c r="Z2182" t="s">
        <v>186</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25">
      <c r="X2183">
        <v>13</v>
      </c>
      <c r="Y2183" t="s">
        <v>771</v>
      </c>
      <c r="Z2183" t="s">
        <v>772</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25">
      <c r="X2184">
        <v>13</v>
      </c>
      <c r="Y2184" t="s">
        <v>773</v>
      </c>
      <c r="Z2184" t="s">
        <v>190</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25">
      <c r="X2185">
        <v>13</v>
      </c>
      <c r="Y2185" t="s">
        <v>709</v>
      </c>
      <c r="Z2185" t="s">
        <v>192</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25">
      <c r="X2186">
        <v>13</v>
      </c>
      <c r="Y2186" t="s">
        <v>774</v>
      </c>
      <c r="Z2186" t="s">
        <v>194</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25">
      <c r="X2187">
        <v>13</v>
      </c>
      <c r="Y2187" t="s">
        <v>775</v>
      </c>
      <c r="Z2187" t="s">
        <v>196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25">
      <c r="X2188">
        <v>13</v>
      </c>
      <c r="Y2188" t="s">
        <v>776</v>
      </c>
      <c r="Z2188" t="s">
        <v>605</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25">
      <c r="X2189">
        <v>13</v>
      </c>
      <c r="Y2189" t="s">
        <v>711</v>
      </c>
      <c r="Z2189" t="s">
        <v>200</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25">
      <c r="X2190">
        <v>13</v>
      </c>
      <c r="Y2190" t="s">
        <v>777</v>
      </c>
      <c r="Z2190" t="s">
        <v>202</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25">
      <c r="X2191">
        <v>13</v>
      </c>
      <c r="Y2191" t="s">
        <v>778</v>
      </c>
      <c r="Z2191" t="s">
        <v>204</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25">
      <c r="X2192">
        <v>13</v>
      </c>
      <c r="Y2192" t="s">
        <v>779</v>
      </c>
      <c r="Z2192" t="s">
        <v>605</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25">
      <c r="X2193">
        <v>13</v>
      </c>
      <c r="Y2193" t="s">
        <v>712</v>
      </c>
      <c r="Z2193" t="s">
        <v>780</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25">
      <c r="X2194">
        <v>13</v>
      </c>
      <c r="Y2194" t="s">
        <v>781</v>
      </c>
      <c r="Z2194" t="s">
        <v>782</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25">
      <c r="X2195">
        <v>13</v>
      </c>
      <c r="Y2195" t="s">
        <v>783</v>
      </c>
      <c r="Z2195" t="s">
        <v>784</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25">
      <c r="X2196">
        <v>13</v>
      </c>
      <c r="Y2196" t="s">
        <v>785</v>
      </c>
      <c r="Z2196" t="s">
        <v>786</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25">
      <c r="X2197">
        <v>13</v>
      </c>
      <c r="Y2197" t="s">
        <v>787</v>
      </c>
      <c r="Z2197" t="s">
        <v>633</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25">
      <c r="X2198">
        <v>13</v>
      </c>
      <c r="Y2198" s="53" t="s">
        <v>753</v>
      </c>
      <c r="Z2198" s="53" t="s">
        <v>162</v>
      </c>
      <c r="AA2198" s="53" t="str">
        <f>IF(OR(VLOOKUP(Table1[[#This Row],[sheet]],Prg!$A$7:$F$31,6,FALSE)=Prg!$O$2,VLOOKUP(Table1[[#This Row],[sheet]],Prg!$A$7:$F$31,6,FALSE)=Prg!$O$3),"Yes","No")</f>
        <v>No</v>
      </c>
      <c r="AB2198" s="53">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25">
      <c r="X2199">
        <v>13</v>
      </c>
      <c r="Y2199" t="s">
        <v>754</v>
      </c>
      <c r="Z2199" t="s">
        <v>164</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25">
      <c r="X2200">
        <v>13</v>
      </c>
      <c r="Y2200" t="s">
        <v>755</v>
      </c>
      <c r="Z2200" t="s">
        <v>166</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25">
      <c r="X2201">
        <v>13</v>
      </c>
      <c r="Y2201" t="s">
        <v>756</v>
      </c>
      <c r="Z2201" t="s">
        <v>757</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25">
      <c r="X2202">
        <v>13</v>
      </c>
      <c r="Y2202" t="s">
        <v>758</v>
      </c>
      <c r="Z2202" t="s">
        <v>170</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25">
      <c r="X2203">
        <v>13</v>
      </c>
      <c r="Y2203" t="s">
        <v>759</v>
      </c>
      <c r="Z2203" t="s">
        <v>172</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25">
      <c r="X2204">
        <v>13</v>
      </c>
      <c r="Y2204" t="s">
        <v>760</v>
      </c>
      <c r="Z2204" t="s">
        <v>174</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25">
      <c r="X2205">
        <v>13</v>
      </c>
      <c r="Y2205" t="s">
        <v>761</v>
      </c>
      <c r="Z2205" t="s">
        <v>762</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25">
      <c r="X2206">
        <v>13</v>
      </c>
      <c r="Y2206" t="s">
        <v>763</v>
      </c>
      <c r="Z2206" t="s">
        <v>178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25">
      <c r="X2207">
        <v>13</v>
      </c>
      <c r="Y2207" t="s">
        <v>764</v>
      </c>
      <c r="Z2207" t="s">
        <v>109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25">
      <c r="X2208">
        <v>13</v>
      </c>
      <c r="Y2208" t="s">
        <v>765</v>
      </c>
      <c r="Z2208" t="s">
        <v>117</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25">
      <c r="X2209">
        <v>13</v>
      </c>
      <c r="Y2209" t="s">
        <v>766</v>
      </c>
      <c r="Z2209" t="s">
        <v>767</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25">
      <c r="X2210">
        <v>13</v>
      </c>
      <c r="Y2210" t="s">
        <v>768</v>
      </c>
      <c r="Z2210" t="s">
        <v>182</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25">
      <c r="X2211">
        <v>13</v>
      </c>
      <c r="Y2211" t="s">
        <v>769</v>
      </c>
      <c r="Z2211" t="s">
        <v>184</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25">
      <c r="X2212">
        <v>13</v>
      </c>
      <c r="Y2212" t="s">
        <v>770</v>
      </c>
      <c r="Z2212" t="s">
        <v>186</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25">
      <c r="X2213">
        <v>13</v>
      </c>
      <c r="Y2213" t="s">
        <v>771</v>
      </c>
      <c r="Z2213" t="s">
        <v>772</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25">
      <c r="X2214">
        <v>13</v>
      </c>
      <c r="Y2214" t="s">
        <v>773</v>
      </c>
      <c r="Z2214" t="s">
        <v>190</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25">
      <c r="X2215">
        <v>13</v>
      </c>
      <c r="Y2215" t="s">
        <v>709</v>
      </c>
      <c r="Z2215" t="s">
        <v>192</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25">
      <c r="X2216">
        <v>13</v>
      </c>
      <c r="Y2216" t="s">
        <v>774</v>
      </c>
      <c r="Z2216" t="s">
        <v>194</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25">
      <c r="X2217">
        <v>13</v>
      </c>
      <c r="Y2217" t="s">
        <v>775</v>
      </c>
      <c r="Z2217" t="s">
        <v>196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25">
      <c r="X2218">
        <v>13</v>
      </c>
      <c r="Y2218" t="s">
        <v>776</v>
      </c>
      <c r="Z2218" t="s">
        <v>605</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25">
      <c r="X2219">
        <v>13</v>
      </c>
      <c r="Y2219" t="s">
        <v>711</v>
      </c>
      <c r="Z2219" t="s">
        <v>200</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25">
      <c r="X2220">
        <v>13</v>
      </c>
      <c r="Y2220" t="s">
        <v>777</v>
      </c>
      <c r="Z2220" t="s">
        <v>202</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25">
      <c r="X2221">
        <v>13</v>
      </c>
      <c r="Y2221" t="s">
        <v>778</v>
      </c>
      <c r="Z2221" t="s">
        <v>204</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25">
      <c r="X2222">
        <v>13</v>
      </c>
      <c r="Y2222" t="s">
        <v>779</v>
      </c>
      <c r="Z2222" t="s">
        <v>605</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25">
      <c r="X2223">
        <v>13</v>
      </c>
      <c r="Y2223" t="s">
        <v>712</v>
      </c>
      <c r="Z2223" t="s">
        <v>780</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25">
      <c r="X2224">
        <v>13</v>
      </c>
      <c r="Y2224" t="s">
        <v>781</v>
      </c>
      <c r="Z2224" t="s">
        <v>782</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25">
      <c r="X2225">
        <v>13</v>
      </c>
      <c r="Y2225" t="s">
        <v>783</v>
      </c>
      <c r="Z2225" t="s">
        <v>784</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25">
      <c r="X2226">
        <v>13</v>
      </c>
      <c r="Y2226" t="s">
        <v>785</v>
      </c>
      <c r="Z2226" t="s">
        <v>786</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25">
      <c r="X2227">
        <v>13</v>
      </c>
      <c r="Y2227" t="s">
        <v>787</v>
      </c>
      <c r="Z2227" t="s">
        <v>633</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25">
      <c r="X2228">
        <v>13</v>
      </c>
      <c r="Y2228" s="53" t="s">
        <v>753</v>
      </c>
      <c r="Z2228" s="53" t="s">
        <v>162</v>
      </c>
      <c r="AA2228" s="53" t="str">
        <f>IF(OR(VLOOKUP(Table1[[#This Row],[sheet]],Prg!$A$7:$F$31,6,FALSE)=Prg!$O$2,VLOOKUP(Table1[[#This Row],[sheet]],Prg!$A$7:$F$31,6,FALSE)=Prg!$O$3),"Yes","No")</f>
        <v>No</v>
      </c>
      <c r="AB2228" s="53">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25">
      <c r="X2229">
        <v>13</v>
      </c>
      <c r="Y2229" t="s">
        <v>754</v>
      </c>
      <c r="Z2229" t="s">
        <v>164</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25">
      <c r="X2230">
        <v>13</v>
      </c>
      <c r="Y2230" t="s">
        <v>755</v>
      </c>
      <c r="Z2230" t="s">
        <v>166</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25">
      <c r="X2231">
        <v>13</v>
      </c>
      <c r="Y2231" t="s">
        <v>756</v>
      </c>
      <c r="Z2231" t="s">
        <v>757</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25">
      <c r="X2232">
        <v>13</v>
      </c>
      <c r="Y2232" t="s">
        <v>758</v>
      </c>
      <c r="Z2232" t="s">
        <v>170</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25">
      <c r="X2233">
        <v>13</v>
      </c>
      <c r="Y2233" t="s">
        <v>759</v>
      </c>
      <c r="Z2233" t="s">
        <v>172</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25">
      <c r="X2234">
        <v>13</v>
      </c>
      <c r="Y2234" t="s">
        <v>760</v>
      </c>
      <c r="Z2234" t="s">
        <v>174</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25">
      <c r="X2235">
        <v>13</v>
      </c>
      <c r="Y2235" t="s">
        <v>761</v>
      </c>
      <c r="Z2235" t="s">
        <v>762</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25">
      <c r="X2236">
        <v>13</v>
      </c>
      <c r="Y2236" t="s">
        <v>763</v>
      </c>
      <c r="Z2236" t="s">
        <v>178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25">
      <c r="X2237">
        <v>13</v>
      </c>
      <c r="Y2237" t="s">
        <v>764</v>
      </c>
      <c r="Z2237" t="s">
        <v>109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25">
      <c r="X2238">
        <v>13</v>
      </c>
      <c r="Y2238" t="s">
        <v>765</v>
      </c>
      <c r="Z2238" t="s">
        <v>117</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25">
      <c r="X2239">
        <v>13</v>
      </c>
      <c r="Y2239" t="s">
        <v>766</v>
      </c>
      <c r="Z2239" t="s">
        <v>767</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25">
      <c r="X2240">
        <v>13</v>
      </c>
      <c r="Y2240" t="s">
        <v>768</v>
      </c>
      <c r="Z2240" t="s">
        <v>182</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25">
      <c r="X2241">
        <v>13</v>
      </c>
      <c r="Y2241" t="s">
        <v>769</v>
      </c>
      <c r="Z2241" t="s">
        <v>184</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25">
      <c r="X2242">
        <v>13</v>
      </c>
      <c r="Y2242" t="s">
        <v>770</v>
      </c>
      <c r="Z2242" t="s">
        <v>186</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25">
      <c r="X2243">
        <v>13</v>
      </c>
      <c r="Y2243" t="s">
        <v>771</v>
      </c>
      <c r="Z2243" t="s">
        <v>772</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25">
      <c r="X2244">
        <v>13</v>
      </c>
      <c r="Y2244" t="s">
        <v>773</v>
      </c>
      <c r="Z2244" t="s">
        <v>190</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25">
      <c r="X2245">
        <v>13</v>
      </c>
      <c r="Y2245" t="s">
        <v>709</v>
      </c>
      <c r="Z2245" t="s">
        <v>192</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25">
      <c r="X2246">
        <v>13</v>
      </c>
      <c r="Y2246" t="s">
        <v>774</v>
      </c>
      <c r="Z2246" t="s">
        <v>194</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25">
      <c r="X2247">
        <v>13</v>
      </c>
      <c r="Y2247" t="s">
        <v>775</v>
      </c>
      <c r="Z2247" t="s">
        <v>196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25">
      <c r="X2248">
        <v>13</v>
      </c>
      <c r="Y2248" t="s">
        <v>776</v>
      </c>
      <c r="Z2248" t="s">
        <v>605</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25">
      <c r="X2249">
        <v>13</v>
      </c>
      <c r="Y2249" t="s">
        <v>711</v>
      </c>
      <c r="Z2249" t="s">
        <v>200</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25">
      <c r="X2250">
        <v>13</v>
      </c>
      <c r="Y2250" t="s">
        <v>777</v>
      </c>
      <c r="Z2250" t="s">
        <v>202</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25">
      <c r="X2251">
        <v>13</v>
      </c>
      <c r="Y2251" t="s">
        <v>778</v>
      </c>
      <c r="Z2251" t="s">
        <v>204</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25">
      <c r="X2252">
        <v>13</v>
      </c>
      <c r="Y2252" t="s">
        <v>779</v>
      </c>
      <c r="Z2252" t="s">
        <v>605</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25">
      <c r="X2253">
        <v>13</v>
      </c>
      <c r="Y2253" t="s">
        <v>712</v>
      </c>
      <c r="Z2253" t="s">
        <v>780</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25">
      <c r="X2254">
        <v>13</v>
      </c>
      <c r="Y2254" t="s">
        <v>781</v>
      </c>
      <c r="Z2254" t="s">
        <v>782</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25">
      <c r="X2255">
        <v>13</v>
      </c>
      <c r="Y2255" t="s">
        <v>783</v>
      </c>
      <c r="Z2255" t="s">
        <v>784</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25">
      <c r="X2256">
        <v>13</v>
      </c>
      <c r="Y2256" t="s">
        <v>785</v>
      </c>
      <c r="Z2256" t="s">
        <v>786</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25">
      <c r="X2257">
        <v>13</v>
      </c>
      <c r="Y2257" t="s">
        <v>787</v>
      </c>
      <c r="Z2257" t="s">
        <v>633</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25">
      <c r="X2258">
        <v>13</v>
      </c>
      <c r="Y2258" s="53" t="s">
        <v>753</v>
      </c>
      <c r="Z2258" s="53" t="s">
        <v>162</v>
      </c>
      <c r="AA2258" s="53" t="str">
        <f>IF(OR(VLOOKUP(Table1[[#This Row],[sheet]],Prg!$A$7:$F$31,6,FALSE)=Prg!$O$2,VLOOKUP(Table1[[#This Row],[sheet]],Prg!$A$7:$F$31,6,FALSE)=Prg!$O$3),"Yes","No")</f>
        <v>No</v>
      </c>
      <c r="AB2258" s="53">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25">
      <c r="X2259">
        <v>13</v>
      </c>
      <c r="Y2259" t="s">
        <v>754</v>
      </c>
      <c r="Z2259" t="s">
        <v>164</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25">
      <c r="X2260">
        <v>13</v>
      </c>
      <c r="Y2260" t="s">
        <v>755</v>
      </c>
      <c r="Z2260" t="s">
        <v>166</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25">
      <c r="X2261">
        <v>13</v>
      </c>
      <c r="Y2261" t="s">
        <v>756</v>
      </c>
      <c r="Z2261" t="s">
        <v>757</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25">
      <c r="X2262">
        <v>13</v>
      </c>
      <c r="Y2262" t="s">
        <v>758</v>
      </c>
      <c r="Z2262" t="s">
        <v>170</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25">
      <c r="X2263">
        <v>13</v>
      </c>
      <c r="Y2263" t="s">
        <v>759</v>
      </c>
      <c r="Z2263" t="s">
        <v>172</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25">
      <c r="X2264">
        <v>13</v>
      </c>
      <c r="Y2264" t="s">
        <v>760</v>
      </c>
      <c r="Z2264" t="s">
        <v>174</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25">
      <c r="X2265">
        <v>13</v>
      </c>
      <c r="Y2265" t="s">
        <v>761</v>
      </c>
      <c r="Z2265" t="s">
        <v>762</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25">
      <c r="X2266">
        <v>13</v>
      </c>
      <c r="Y2266" t="s">
        <v>763</v>
      </c>
      <c r="Z2266" t="s">
        <v>178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25">
      <c r="X2267">
        <v>13</v>
      </c>
      <c r="Y2267" t="s">
        <v>764</v>
      </c>
      <c r="Z2267" t="s">
        <v>109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25">
      <c r="X2268">
        <v>13</v>
      </c>
      <c r="Y2268" t="s">
        <v>765</v>
      </c>
      <c r="Z2268" t="s">
        <v>117</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25">
      <c r="X2269">
        <v>13</v>
      </c>
      <c r="Y2269" t="s">
        <v>766</v>
      </c>
      <c r="Z2269" t="s">
        <v>767</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25">
      <c r="X2270">
        <v>13</v>
      </c>
      <c r="Y2270" t="s">
        <v>768</v>
      </c>
      <c r="Z2270" t="s">
        <v>182</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25">
      <c r="X2271">
        <v>13</v>
      </c>
      <c r="Y2271" t="s">
        <v>769</v>
      </c>
      <c r="Z2271" t="s">
        <v>184</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25">
      <c r="X2272">
        <v>13</v>
      </c>
      <c r="Y2272" t="s">
        <v>770</v>
      </c>
      <c r="Z2272" t="s">
        <v>186</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25">
      <c r="X2273">
        <v>13</v>
      </c>
      <c r="Y2273" t="s">
        <v>771</v>
      </c>
      <c r="Z2273" t="s">
        <v>772</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25">
      <c r="X2274">
        <v>13</v>
      </c>
      <c r="Y2274" t="s">
        <v>773</v>
      </c>
      <c r="Z2274" t="s">
        <v>190</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25">
      <c r="X2275">
        <v>13</v>
      </c>
      <c r="Y2275" t="s">
        <v>709</v>
      </c>
      <c r="Z2275" t="s">
        <v>192</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25">
      <c r="X2276">
        <v>13</v>
      </c>
      <c r="Y2276" t="s">
        <v>774</v>
      </c>
      <c r="Z2276" t="s">
        <v>194</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25">
      <c r="X2277">
        <v>13</v>
      </c>
      <c r="Y2277" t="s">
        <v>775</v>
      </c>
      <c r="Z2277" t="s">
        <v>196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25">
      <c r="X2278">
        <v>13</v>
      </c>
      <c r="Y2278" t="s">
        <v>776</v>
      </c>
      <c r="Z2278" t="s">
        <v>605</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25">
      <c r="X2279">
        <v>13</v>
      </c>
      <c r="Y2279" t="s">
        <v>711</v>
      </c>
      <c r="Z2279" t="s">
        <v>200</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25">
      <c r="X2280">
        <v>13</v>
      </c>
      <c r="Y2280" t="s">
        <v>777</v>
      </c>
      <c r="Z2280" t="s">
        <v>202</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25">
      <c r="X2281">
        <v>13</v>
      </c>
      <c r="Y2281" t="s">
        <v>778</v>
      </c>
      <c r="Z2281" t="s">
        <v>204</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25">
      <c r="X2282">
        <v>13</v>
      </c>
      <c r="Y2282" t="s">
        <v>779</v>
      </c>
      <c r="Z2282" t="s">
        <v>605</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25">
      <c r="X2283">
        <v>13</v>
      </c>
      <c r="Y2283" t="s">
        <v>712</v>
      </c>
      <c r="Z2283" t="s">
        <v>780</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25">
      <c r="X2284">
        <v>13</v>
      </c>
      <c r="Y2284" t="s">
        <v>781</v>
      </c>
      <c r="Z2284" t="s">
        <v>782</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25">
      <c r="X2285">
        <v>13</v>
      </c>
      <c r="Y2285" t="s">
        <v>783</v>
      </c>
      <c r="Z2285" t="s">
        <v>784</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25">
      <c r="X2286">
        <v>13</v>
      </c>
      <c r="Y2286" t="s">
        <v>785</v>
      </c>
      <c r="Z2286" t="s">
        <v>786</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25">
      <c r="X2287">
        <v>13</v>
      </c>
      <c r="Y2287" t="s">
        <v>787</v>
      </c>
      <c r="Z2287" t="s">
        <v>633</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25">
      <c r="X2288">
        <v>13</v>
      </c>
      <c r="Y2288" s="53" t="s">
        <v>753</v>
      </c>
      <c r="Z2288" s="53" t="s">
        <v>162</v>
      </c>
      <c r="AA2288" s="53" t="str">
        <f>IF(OR(VLOOKUP(Table1[[#This Row],[sheet]],Prg!$A$7:$F$31,6,FALSE)=Prg!$O$2,VLOOKUP(Table1[[#This Row],[sheet]],Prg!$A$7:$F$31,6,FALSE)=Prg!$O$3),"Yes","No")</f>
        <v>No</v>
      </c>
      <c r="AB2288" s="53">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25">
      <c r="X2289">
        <v>13</v>
      </c>
      <c r="Y2289" t="s">
        <v>754</v>
      </c>
      <c r="Z2289" t="s">
        <v>164</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25">
      <c r="X2290">
        <v>13</v>
      </c>
      <c r="Y2290" t="s">
        <v>755</v>
      </c>
      <c r="Z2290" t="s">
        <v>166</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25">
      <c r="X2291">
        <v>13</v>
      </c>
      <c r="Y2291" t="s">
        <v>756</v>
      </c>
      <c r="Z2291" t="s">
        <v>757</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25">
      <c r="X2292">
        <v>13</v>
      </c>
      <c r="Y2292" t="s">
        <v>758</v>
      </c>
      <c r="Z2292" t="s">
        <v>170</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25">
      <c r="X2293">
        <v>13</v>
      </c>
      <c r="Y2293" t="s">
        <v>759</v>
      </c>
      <c r="Z2293" t="s">
        <v>172</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25">
      <c r="X2294">
        <v>13</v>
      </c>
      <c r="Y2294" t="s">
        <v>760</v>
      </c>
      <c r="Z2294" t="s">
        <v>174</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25">
      <c r="X2295">
        <v>13</v>
      </c>
      <c r="Y2295" t="s">
        <v>761</v>
      </c>
      <c r="Z2295" t="s">
        <v>762</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25">
      <c r="X2296">
        <v>13</v>
      </c>
      <c r="Y2296" t="s">
        <v>763</v>
      </c>
      <c r="Z2296" t="s">
        <v>178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25">
      <c r="X2297">
        <v>13</v>
      </c>
      <c r="Y2297" t="s">
        <v>764</v>
      </c>
      <c r="Z2297" t="s">
        <v>109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25">
      <c r="X2298">
        <v>13</v>
      </c>
      <c r="Y2298" t="s">
        <v>765</v>
      </c>
      <c r="Z2298" t="s">
        <v>117</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25">
      <c r="X2299">
        <v>13</v>
      </c>
      <c r="Y2299" t="s">
        <v>766</v>
      </c>
      <c r="Z2299" t="s">
        <v>767</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25">
      <c r="X2300">
        <v>13</v>
      </c>
      <c r="Y2300" t="s">
        <v>768</v>
      </c>
      <c r="Z2300" t="s">
        <v>182</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25">
      <c r="X2301">
        <v>13</v>
      </c>
      <c r="Y2301" t="s">
        <v>769</v>
      </c>
      <c r="Z2301" t="s">
        <v>184</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25">
      <c r="X2302">
        <v>13</v>
      </c>
      <c r="Y2302" t="s">
        <v>770</v>
      </c>
      <c r="Z2302" t="s">
        <v>186</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25">
      <c r="X2303">
        <v>13</v>
      </c>
      <c r="Y2303" t="s">
        <v>771</v>
      </c>
      <c r="Z2303" t="s">
        <v>772</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25">
      <c r="X2304">
        <v>13</v>
      </c>
      <c r="Y2304" t="s">
        <v>773</v>
      </c>
      <c r="Z2304" t="s">
        <v>190</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25">
      <c r="X2305">
        <v>13</v>
      </c>
      <c r="Y2305" t="s">
        <v>709</v>
      </c>
      <c r="Z2305" t="s">
        <v>192</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25">
      <c r="X2306">
        <v>13</v>
      </c>
      <c r="Y2306" t="s">
        <v>774</v>
      </c>
      <c r="Z2306" t="s">
        <v>194</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25">
      <c r="X2307">
        <v>13</v>
      </c>
      <c r="Y2307" t="s">
        <v>775</v>
      </c>
      <c r="Z2307" t="s">
        <v>196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25">
      <c r="X2308">
        <v>13</v>
      </c>
      <c r="Y2308" t="s">
        <v>776</v>
      </c>
      <c r="Z2308" t="s">
        <v>605</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25">
      <c r="X2309">
        <v>13</v>
      </c>
      <c r="Y2309" t="s">
        <v>711</v>
      </c>
      <c r="Z2309" t="s">
        <v>200</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25">
      <c r="X2310">
        <v>13</v>
      </c>
      <c r="Y2310" t="s">
        <v>777</v>
      </c>
      <c r="Z2310" t="s">
        <v>202</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25">
      <c r="X2311">
        <v>13</v>
      </c>
      <c r="Y2311" t="s">
        <v>778</v>
      </c>
      <c r="Z2311" t="s">
        <v>204</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25">
      <c r="X2312">
        <v>13</v>
      </c>
      <c r="Y2312" t="s">
        <v>779</v>
      </c>
      <c r="Z2312" t="s">
        <v>605</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25">
      <c r="X2313">
        <v>13</v>
      </c>
      <c r="Y2313" t="s">
        <v>712</v>
      </c>
      <c r="Z2313" t="s">
        <v>780</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25">
      <c r="X2314">
        <v>13</v>
      </c>
      <c r="Y2314" t="s">
        <v>781</v>
      </c>
      <c r="Z2314" t="s">
        <v>782</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25">
      <c r="X2315">
        <v>13</v>
      </c>
      <c r="Y2315" t="s">
        <v>783</v>
      </c>
      <c r="Z2315" t="s">
        <v>784</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25">
      <c r="X2316">
        <v>13</v>
      </c>
      <c r="Y2316" t="s">
        <v>785</v>
      </c>
      <c r="Z2316" t="s">
        <v>786</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25">
      <c r="X2317">
        <v>13</v>
      </c>
      <c r="Y2317" t="s">
        <v>787</v>
      </c>
      <c r="Z2317" t="s">
        <v>633</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25">
      <c r="X2318">
        <v>13</v>
      </c>
      <c r="Y2318" s="53" t="s">
        <v>753</v>
      </c>
      <c r="Z2318" s="53" t="s">
        <v>162</v>
      </c>
      <c r="AA2318" s="53" t="str">
        <f>IF(OR(VLOOKUP(Table1[[#This Row],[sheet]],Prg!$A$7:$F$31,6,FALSE)=Prg!$O$2,VLOOKUP(Table1[[#This Row],[sheet]],Prg!$A$7:$F$31,6,FALSE)=Prg!$O$3),"Yes","No")</f>
        <v>No</v>
      </c>
      <c r="AB2318" s="53" t="s">
        <v>78</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25">
      <c r="X2319">
        <v>13</v>
      </c>
      <c r="Y2319" t="s">
        <v>754</v>
      </c>
      <c r="Z2319" t="s">
        <v>164</v>
      </c>
      <c r="AA2319" t="str">
        <f>IF(OR(VLOOKUP(Table1[[#This Row],[sheet]],Prg!$A$7:$F$31,6,FALSE)=Prg!$O$2,VLOOKUP(Table1[[#This Row],[sheet]],Prg!$A$7:$F$31,6,FALSE)=Prg!$O$3),"Yes","No")</f>
        <v>No</v>
      </c>
      <c r="AB2319" t="s">
        <v>78</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25">
      <c r="X2320">
        <v>13</v>
      </c>
      <c r="Y2320" t="s">
        <v>755</v>
      </c>
      <c r="Z2320" t="s">
        <v>166</v>
      </c>
      <c r="AA2320" t="str">
        <f>IF(OR(VLOOKUP(Table1[[#This Row],[sheet]],Prg!$A$7:$F$31,6,FALSE)=Prg!$O$2,VLOOKUP(Table1[[#This Row],[sheet]],Prg!$A$7:$F$31,6,FALSE)=Prg!$O$3),"Yes","No")</f>
        <v>No</v>
      </c>
      <c r="AB2320" t="s">
        <v>78</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25">
      <c r="X2321">
        <v>13</v>
      </c>
      <c r="Y2321" t="s">
        <v>756</v>
      </c>
      <c r="Z2321" t="s">
        <v>757</v>
      </c>
      <c r="AA2321" t="str">
        <f>IF(OR(VLOOKUP(Table1[[#This Row],[sheet]],Prg!$A$7:$F$31,6,FALSE)=Prg!$O$2,VLOOKUP(Table1[[#This Row],[sheet]],Prg!$A$7:$F$31,6,FALSE)=Prg!$O$3),"Yes","No")</f>
        <v>No</v>
      </c>
      <c r="AB2321" t="s">
        <v>78</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25">
      <c r="X2322">
        <v>13</v>
      </c>
      <c r="Y2322" t="s">
        <v>758</v>
      </c>
      <c r="Z2322" t="s">
        <v>170</v>
      </c>
      <c r="AA2322" t="str">
        <f>IF(OR(VLOOKUP(Table1[[#This Row],[sheet]],Prg!$A$7:$F$31,6,FALSE)=Prg!$O$2,VLOOKUP(Table1[[#This Row],[sheet]],Prg!$A$7:$F$31,6,FALSE)=Prg!$O$3),"Yes","No")</f>
        <v>No</v>
      </c>
      <c r="AB2322" t="s">
        <v>78</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25">
      <c r="X2323">
        <v>13</v>
      </c>
      <c r="Y2323" t="s">
        <v>759</v>
      </c>
      <c r="Z2323" t="s">
        <v>172</v>
      </c>
      <c r="AA2323" t="str">
        <f>IF(OR(VLOOKUP(Table1[[#This Row],[sheet]],Prg!$A$7:$F$31,6,FALSE)=Prg!$O$2,VLOOKUP(Table1[[#This Row],[sheet]],Prg!$A$7:$F$31,6,FALSE)=Prg!$O$3),"Yes","No")</f>
        <v>No</v>
      </c>
      <c r="AB2323" t="s">
        <v>78</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25">
      <c r="X2324">
        <v>13</v>
      </c>
      <c r="Y2324" t="s">
        <v>760</v>
      </c>
      <c r="Z2324" t="s">
        <v>174</v>
      </c>
      <c r="AA2324" t="str">
        <f>IF(OR(VLOOKUP(Table1[[#This Row],[sheet]],Prg!$A$7:$F$31,6,FALSE)=Prg!$O$2,VLOOKUP(Table1[[#This Row],[sheet]],Prg!$A$7:$F$31,6,FALSE)=Prg!$O$3),"Yes","No")</f>
        <v>No</v>
      </c>
      <c r="AB2324" t="s">
        <v>78</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25">
      <c r="X2325">
        <v>13</v>
      </c>
      <c r="Y2325" t="s">
        <v>761</v>
      </c>
      <c r="Z2325" t="s">
        <v>762</v>
      </c>
      <c r="AA2325" t="str">
        <f>IF(OR(VLOOKUP(Table1[[#This Row],[sheet]],Prg!$A$7:$F$31,6,FALSE)=Prg!$O$2,VLOOKUP(Table1[[#This Row],[sheet]],Prg!$A$7:$F$31,6,FALSE)=Prg!$O$3),"Yes","No")</f>
        <v>No</v>
      </c>
      <c r="AB2325" t="s">
        <v>78</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25">
      <c r="X2326">
        <v>13</v>
      </c>
      <c r="Y2326" t="s">
        <v>763</v>
      </c>
      <c r="Z2326" t="s">
        <v>178</v>
      </c>
      <c r="AA2326" t="str">
        <f>IF(OR(VLOOKUP(Table1[[#This Row],[sheet]],Prg!$A$7:$F$31,6,FALSE)=Prg!$O$2,VLOOKUP(Table1[[#This Row],[sheet]],Prg!$A$7:$F$31,6,FALSE)=Prg!$O$3),"Yes","No")</f>
        <v>No</v>
      </c>
      <c r="AB2326" t="s">
        <v>78</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25">
      <c r="X2327">
        <v>13</v>
      </c>
      <c r="Y2327" t="s">
        <v>764</v>
      </c>
      <c r="Z2327" t="s">
        <v>109</v>
      </c>
      <c r="AA2327" t="str">
        <f>IF(OR(VLOOKUP(Table1[[#This Row],[sheet]],Prg!$A$7:$F$31,6,FALSE)=Prg!$O$2,VLOOKUP(Table1[[#This Row],[sheet]],Prg!$A$7:$F$31,6,FALSE)=Prg!$O$3),"Yes","No")</f>
        <v>No</v>
      </c>
      <c r="AB2327" t="s">
        <v>78</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25">
      <c r="X2328">
        <v>13</v>
      </c>
      <c r="Y2328" t="s">
        <v>765</v>
      </c>
      <c r="Z2328" t="s">
        <v>117</v>
      </c>
      <c r="AA2328" t="str">
        <f>IF(OR(VLOOKUP(Table1[[#This Row],[sheet]],Prg!$A$7:$F$31,6,FALSE)=Prg!$O$2,VLOOKUP(Table1[[#This Row],[sheet]],Prg!$A$7:$F$31,6,FALSE)=Prg!$O$3),"Yes","No")</f>
        <v>No</v>
      </c>
      <c r="AB2328" t="s">
        <v>78</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25">
      <c r="X2329">
        <v>13</v>
      </c>
      <c r="Y2329" t="s">
        <v>766</v>
      </c>
      <c r="Z2329" t="s">
        <v>767</v>
      </c>
      <c r="AA2329" t="str">
        <f>IF(OR(VLOOKUP(Table1[[#This Row],[sheet]],Prg!$A$7:$F$31,6,FALSE)=Prg!$O$2,VLOOKUP(Table1[[#This Row],[sheet]],Prg!$A$7:$F$31,6,FALSE)=Prg!$O$3),"Yes","No")</f>
        <v>No</v>
      </c>
      <c r="AB2329" t="s">
        <v>78</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25">
      <c r="X2330">
        <v>13</v>
      </c>
      <c r="Y2330" t="s">
        <v>768</v>
      </c>
      <c r="Z2330" t="s">
        <v>182</v>
      </c>
      <c r="AA2330" t="str">
        <f>IF(OR(VLOOKUP(Table1[[#This Row],[sheet]],Prg!$A$7:$F$31,6,FALSE)=Prg!$O$2,VLOOKUP(Table1[[#This Row],[sheet]],Prg!$A$7:$F$31,6,FALSE)=Prg!$O$3),"Yes","No")</f>
        <v>No</v>
      </c>
      <c r="AB2330" t="s">
        <v>78</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25">
      <c r="X2331">
        <v>13</v>
      </c>
      <c r="Y2331" t="s">
        <v>769</v>
      </c>
      <c r="Z2331" t="s">
        <v>184</v>
      </c>
      <c r="AA2331" t="str">
        <f>IF(OR(VLOOKUP(Table1[[#This Row],[sheet]],Prg!$A$7:$F$31,6,FALSE)=Prg!$O$2,VLOOKUP(Table1[[#This Row],[sheet]],Prg!$A$7:$F$31,6,FALSE)=Prg!$O$3),"Yes","No")</f>
        <v>No</v>
      </c>
      <c r="AB2331" t="s">
        <v>78</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25">
      <c r="X2332">
        <v>13</v>
      </c>
      <c r="Y2332" t="s">
        <v>770</v>
      </c>
      <c r="Z2332" t="s">
        <v>186</v>
      </c>
      <c r="AA2332" t="str">
        <f>IF(OR(VLOOKUP(Table1[[#This Row],[sheet]],Prg!$A$7:$F$31,6,FALSE)=Prg!$O$2,VLOOKUP(Table1[[#This Row],[sheet]],Prg!$A$7:$F$31,6,FALSE)=Prg!$O$3),"Yes","No")</f>
        <v>No</v>
      </c>
      <c r="AB2332" t="s">
        <v>78</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25">
      <c r="X2333">
        <v>13</v>
      </c>
      <c r="Y2333" t="s">
        <v>771</v>
      </c>
      <c r="Z2333" t="s">
        <v>772</v>
      </c>
      <c r="AA2333" t="str">
        <f>IF(OR(VLOOKUP(Table1[[#This Row],[sheet]],Prg!$A$7:$F$31,6,FALSE)=Prg!$O$2,VLOOKUP(Table1[[#This Row],[sheet]],Prg!$A$7:$F$31,6,FALSE)=Prg!$O$3),"Yes","No")</f>
        <v>No</v>
      </c>
      <c r="AB2333" t="s">
        <v>78</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25">
      <c r="X2334">
        <v>13</v>
      </c>
      <c r="Y2334" t="s">
        <v>773</v>
      </c>
      <c r="Z2334" t="s">
        <v>190</v>
      </c>
      <c r="AA2334" t="str">
        <f>IF(OR(VLOOKUP(Table1[[#This Row],[sheet]],Prg!$A$7:$F$31,6,FALSE)=Prg!$O$2,VLOOKUP(Table1[[#This Row],[sheet]],Prg!$A$7:$F$31,6,FALSE)=Prg!$O$3),"Yes","No")</f>
        <v>No</v>
      </c>
      <c r="AB2334" t="s">
        <v>78</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25">
      <c r="X2335">
        <v>13</v>
      </c>
      <c r="Y2335" t="s">
        <v>709</v>
      </c>
      <c r="Z2335" t="s">
        <v>192</v>
      </c>
      <c r="AA2335" t="str">
        <f>IF(OR(VLOOKUP(Table1[[#This Row],[sheet]],Prg!$A$7:$F$31,6,FALSE)=Prg!$O$2,VLOOKUP(Table1[[#This Row],[sheet]],Prg!$A$7:$F$31,6,FALSE)=Prg!$O$3),"Yes","No")</f>
        <v>No</v>
      </c>
      <c r="AB2335" t="s">
        <v>78</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25">
      <c r="X2336">
        <v>13</v>
      </c>
      <c r="Y2336" t="s">
        <v>774</v>
      </c>
      <c r="Z2336" t="s">
        <v>194</v>
      </c>
      <c r="AA2336" t="str">
        <f>IF(OR(VLOOKUP(Table1[[#This Row],[sheet]],Prg!$A$7:$F$31,6,FALSE)=Prg!$O$2,VLOOKUP(Table1[[#This Row],[sheet]],Prg!$A$7:$F$31,6,FALSE)=Prg!$O$3),"Yes","No")</f>
        <v>No</v>
      </c>
      <c r="AB2336" t="s">
        <v>78</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25">
      <c r="X2337">
        <v>13</v>
      </c>
      <c r="Y2337" t="s">
        <v>775</v>
      </c>
      <c r="Z2337" t="s">
        <v>196</v>
      </c>
      <c r="AA2337" t="str">
        <f>IF(OR(VLOOKUP(Table1[[#This Row],[sheet]],Prg!$A$7:$F$31,6,FALSE)=Prg!$O$2,VLOOKUP(Table1[[#This Row],[sheet]],Prg!$A$7:$F$31,6,FALSE)=Prg!$O$3),"Yes","No")</f>
        <v>No</v>
      </c>
      <c r="AB2337" t="s">
        <v>78</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25">
      <c r="X2338">
        <v>13</v>
      </c>
      <c r="Y2338" t="s">
        <v>776</v>
      </c>
      <c r="Z2338" t="s">
        <v>605</v>
      </c>
      <c r="AA2338" t="str">
        <f>IF(OR(VLOOKUP(Table1[[#This Row],[sheet]],Prg!$A$7:$F$31,6,FALSE)=Prg!$O$2,VLOOKUP(Table1[[#This Row],[sheet]],Prg!$A$7:$F$31,6,FALSE)=Prg!$O$3),"Yes","No")</f>
        <v>No</v>
      </c>
      <c r="AB2338" t="s">
        <v>78</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25">
      <c r="X2339">
        <v>13</v>
      </c>
      <c r="Y2339" t="s">
        <v>711</v>
      </c>
      <c r="Z2339" t="s">
        <v>200</v>
      </c>
      <c r="AA2339" t="str">
        <f>IF(OR(VLOOKUP(Table1[[#This Row],[sheet]],Prg!$A$7:$F$31,6,FALSE)=Prg!$O$2,VLOOKUP(Table1[[#This Row],[sheet]],Prg!$A$7:$F$31,6,FALSE)=Prg!$O$3),"Yes","No")</f>
        <v>No</v>
      </c>
      <c r="AB2339" t="s">
        <v>78</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25">
      <c r="X2340">
        <v>13</v>
      </c>
      <c r="Y2340" t="s">
        <v>777</v>
      </c>
      <c r="Z2340" t="s">
        <v>202</v>
      </c>
      <c r="AA2340" t="str">
        <f>IF(OR(VLOOKUP(Table1[[#This Row],[sheet]],Prg!$A$7:$F$31,6,FALSE)=Prg!$O$2,VLOOKUP(Table1[[#This Row],[sheet]],Prg!$A$7:$F$31,6,FALSE)=Prg!$O$3),"Yes","No")</f>
        <v>No</v>
      </c>
      <c r="AB2340" t="s">
        <v>78</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25">
      <c r="X2341">
        <v>13</v>
      </c>
      <c r="Y2341" t="s">
        <v>778</v>
      </c>
      <c r="Z2341" t="s">
        <v>204</v>
      </c>
      <c r="AA2341" t="str">
        <f>IF(OR(VLOOKUP(Table1[[#This Row],[sheet]],Prg!$A$7:$F$31,6,FALSE)=Prg!$O$2,VLOOKUP(Table1[[#This Row],[sheet]],Prg!$A$7:$F$31,6,FALSE)=Prg!$O$3),"Yes","No")</f>
        <v>No</v>
      </c>
      <c r="AB2341" t="s">
        <v>78</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25">
      <c r="X2342">
        <v>13</v>
      </c>
      <c r="Y2342" t="s">
        <v>779</v>
      </c>
      <c r="Z2342" t="s">
        <v>605</v>
      </c>
      <c r="AA2342" t="str">
        <f>IF(OR(VLOOKUP(Table1[[#This Row],[sheet]],Prg!$A$7:$F$31,6,FALSE)=Prg!$O$2,VLOOKUP(Table1[[#This Row],[sheet]],Prg!$A$7:$F$31,6,FALSE)=Prg!$O$3),"Yes","No")</f>
        <v>No</v>
      </c>
      <c r="AB2342" t="s">
        <v>78</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25">
      <c r="X2343">
        <v>13</v>
      </c>
      <c r="Y2343" t="s">
        <v>712</v>
      </c>
      <c r="Z2343" t="s">
        <v>780</v>
      </c>
      <c r="AA2343" t="str">
        <f>IF(OR(VLOOKUP(Table1[[#This Row],[sheet]],Prg!$A$7:$F$31,6,FALSE)=Prg!$O$2,VLOOKUP(Table1[[#This Row],[sheet]],Prg!$A$7:$F$31,6,FALSE)=Prg!$O$3),"Yes","No")</f>
        <v>No</v>
      </c>
      <c r="AB2343" t="s">
        <v>78</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25">
      <c r="X2344">
        <v>13</v>
      </c>
      <c r="Y2344" t="s">
        <v>781</v>
      </c>
      <c r="Z2344" t="s">
        <v>782</v>
      </c>
      <c r="AA2344" t="str">
        <f>IF(OR(VLOOKUP(Table1[[#This Row],[sheet]],Prg!$A$7:$F$31,6,FALSE)=Prg!$O$2,VLOOKUP(Table1[[#This Row],[sheet]],Prg!$A$7:$F$31,6,FALSE)=Prg!$O$3),"Yes","No")</f>
        <v>No</v>
      </c>
      <c r="AB2344" t="s">
        <v>78</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25">
      <c r="X2345">
        <v>13</v>
      </c>
      <c r="Y2345" t="s">
        <v>783</v>
      </c>
      <c r="Z2345" t="s">
        <v>784</v>
      </c>
      <c r="AA2345" t="str">
        <f>IF(OR(VLOOKUP(Table1[[#This Row],[sheet]],Prg!$A$7:$F$31,6,FALSE)=Prg!$O$2,VLOOKUP(Table1[[#This Row],[sheet]],Prg!$A$7:$F$31,6,FALSE)=Prg!$O$3),"Yes","No")</f>
        <v>No</v>
      </c>
      <c r="AB2345" t="s">
        <v>78</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25">
      <c r="X2346">
        <v>13</v>
      </c>
      <c r="Y2346" t="s">
        <v>785</v>
      </c>
      <c r="Z2346" t="s">
        <v>786</v>
      </c>
      <c r="AA2346" t="str">
        <f>IF(OR(VLOOKUP(Table1[[#This Row],[sheet]],Prg!$A$7:$F$31,6,FALSE)=Prg!$O$2,VLOOKUP(Table1[[#This Row],[sheet]],Prg!$A$7:$F$31,6,FALSE)=Prg!$O$3),"Yes","No")</f>
        <v>No</v>
      </c>
      <c r="AB2346" t="s">
        <v>78</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25">
      <c r="X2347">
        <v>13</v>
      </c>
      <c r="Y2347" t="s">
        <v>787</v>
      </c>
      <c r="Z2347" t="s">
        <v>633</v>
      </c>
      <c r="AA2347" t="str">
        <f>IF(OR(VLOOKUP(Table1[[#This Row],[sheet]],Prg!$A$7:$F$31,6,FALSE)=Prg!$O$2,VLOOKUP(Table1[[#This Row],[sheet]],Prg!$A$7:$F$31,6,FALSE)=Prg!$O$3),"Yes","No")</f>
        <v>No</v>
      </c>
      <c r="AB2347" t="s">
        <v>78</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25">
      <c r="X2348">
        <v>14</v>
      </c>
      <c r="Y2348" s="53" t="s">
        <v>753</v>
      </c>
      <c r="Z2348" s="53" t="s">
        <v>162</v>
      </c>
      <c r="AA2348" s="53" t="str">
        <f>IF(OR(VLOOKUP(Table1[[#This Row],[sheet]],Prg!$A$7:$F$31,6,FALSE)=Prg!$O$2,VLOOKUP(Table1[[#This Row],[sheet]],Prg!$A$7:$F$31,6,FALSE)=Prg!$O$3),"Yes","No")</f>
        <v>No</v>
      </c>
      <c r="AB2348" s="53">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25">
      <c r="X2349">
        <v>14</v>
      </c>
      <c r="Y2349" t="s">
        <v>754</v>
      </c>
      <c r="Z2349" t="s">
        <v>164</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25">
      <c r="X2350">
        <v>14</v>
      </c>
      <c r="Y2350" t="s">
        <v>755</v>
      </c>
      <c r="Z2350" t="s">
        <v>166</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25">
      <c r="X2351">
        <v>14</v>
      </c>
      <c r="Y2351" t="s">
        <v>756</v>
      </c>
      <c r="Z2351" t="s">
        <v>757</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25">
      <c r="X2352">
        <v>14</v>
      </c>
      <c r="Y2352" t="s">
        <v>758</v>
      </c>
      <c r="Z2352" t="s">
        <v>170</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25">
      <c r="X2353">
        <v>14</v>
      </c>
      <c r="Y2353" t="s">
        <v>759</v>
      </c>
      <c r="Z2353" t="s">
        <v>172</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25">
      <c r="X2354">
        <v>14</v>
      </c>
      <c r="Y2354" t="s">
        <v>760</v>
      </c>
      <c r="Z2354" t="s">
        <v>174</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25">
      <c r="X2355">
        <v>14</v>
      </c>
      <c r="Y2355" t="s">
        <v>761</v>
      </c>
      <c r="Z2355" t="s">
        <v>762</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25">
      <c r="X2356">
        <v>14</v>
      </c>
      <c r="Y2356" t="s">
        <v>763</v>
      </c>
      <c r="Z2356" t="s">
        <v>178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25">
      <c r="X2357">
        <v>14</v>
      </c>
      <c r="Y2357" t="s">
        <v>764</v>
      </c>
      <c r="Z2357" t="s">
        <v>109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25">
      <c r="X2358">
        <v>14</v>
      </c>
      <c r="Y2358" t="s">
        <v>765</v>
      </c>
      <c r="Z2358" t="s">
        <v>117</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25">
      <c r="X2359">
        <v>14</v>
      </c>
      <c r="Y2359" t="s">
        <v>766</v>
      </c>
      <c r="Z2359" t="s">
        <v>767</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25">
      <c r="X2360">
        <v>14</v>
      </c>
      <c r="Y2360" t="s">
        <v>768</v>
      </c>
      <c r="Z2360" t="s">
        <v>182</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25">
      <c r="X2361">
        <v>14</v>
      </c>
      <c r="Y2361" t="s">
        <v>769</v>
      </c>
      <c r="Z2361" t="s">
        <v>184</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25">
      <c r="X2362">
        <v>14</v>
      </c>
      <c r="Y2362" t="s">
        <v>770</v>
      </c>
      <c r="Z2362" t="s">
        <v>186</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25">
      <c r="X2363">
        <v>14</v>
      </c>
      <c r="Y2363" t="s">
        <v>771</v>
      </c>
      <c r="Z2363" t="s">
        <v>772</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25">
      <c r="X2364">
        <v>14</v>
      </c>
      <c r="Y2364" t="s">
        <v>773</v>
      </c>
      <c r="Z2364" t="s">
        <v>190</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25">
      <c r="X2365">
        <v>14</v>
      </c>
      <c r="Y2365" t="s">
        <v>709</v>
      </c>
      <c r="Z2365" t="s">
        <v>192</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25">
      <c r="X2366">
        <v>14</v>
      </c>
      <c r="Y2366" t="s">
        <v>774</v>
      </c>
      <c r="Z2366" t="s">
        <v>194</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25">
      <c r="X2367">
        <v>14</v>
      </c>
      <c r="Y2367" t="s">
        <v>775</v>
      </c>
      <c r="Z2367" t="s">
        <v>196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25">
      <c r="X2368">
        <v>14</v>
      </c>
      <c r="Y2368" t="s">
        <v>776</v>
      </c>
      <c r="Z2368" t="s">
        <v>605</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25">
      <c r="X2369">
        <v>14</v>
      </c>
      <c r="Y2369" t="s">
        <v>711</v>
      </c>
      <c r="Z2369" t="s">
        <v>200</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25">
      <c r="X2370">
        <v>14</v>
      </c>
      <c r="Y2370" t="s">
        <v>777</v>
      </c>
      <c r="Z2370" t="s">
        <v>202</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25">
      <c r="X2371">
        <v>14</v>
      </c>
      <c r="Y2371" t="s">
        <v>778</v>
      </c>
      <c r="Z2371" t="s">
        <v>204</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25">
      <c r="X2372">
        <v>14</v>
      </c>
      <c r="Y2372" t="s">
        <v>779</v>
      </c>
      <c r="Z2372" t="s">
        <v>605</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25">
      <c r="X2373">
        <v>14</v>
      </c>
      <c r="Y2373" t="s">
        <v>712</v>
      </c>
      <c r="Z2373" t="s">
        <v>780</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25">
      <c r="X2374">
        <v>14</v>
      </c>
      <c r="Y2374" t="s">
        <v>781</v>
      </c>
      <c r="Z2374" t="s">
        <v>782</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25">
      <c r="X2375">
        <v>14</v>
      </c>
      <c r="Y2375" t="s">
        <v>783</v>
      </c>
      <c r="Z2375" t="s">
        <v>784</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25">
      <c r="X2376">
        <v>14</v>
      </c>
      <c r="Y2376" t="s">
        <v>785</v>
      </c>
      <c r="Z2376" t="s">
        <v>786</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25">
      <c r="X2377">
        <v>14</v>
      </c>
      <c r="Y2377" t="s">
        <v>787</v>
      </c>
      <c r="Z2377" t="s">
        <v>633</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25">
      <c r="X2378">
        <v>14</v>
      </c>
      <c r="Y2378" s="53" t="s">
        <v>753</v>
      </c>
      <c r="Z2378" s="53" t="s">
        <v>162</v>
      </c>
      <c r="AA2378" s="53" t="str">
        <f>IF(OR(VLOOKUP(Table1[[#This Row],[sheet]],Prg!$A$7:$F$31,6,FALSE)=Prg!$O$2,VLOOKUP(Table1[[#This Row],[sheet]],Prg!$A$7:$F$31,6,FALSE)=Prg!$O$3),"Yes","No")</f>
        <v>No</v>
      </c>
      <c r="AB2378" s="53">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25">
      <c r="X2379">
        <v>14</v>
      </c>
      <c r="Y2379" t="s">
        <v>754</v>
      </c>
      <c r="Z2379" t="s">
        <v>164</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25">
      <c r="X2380">
        <v>14</v>
      </c>
      <c r="Y2380" t="s">
        <v>755</v>
      </c>
      <c r="Z2380" t="s">
        <v>166</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25">
      <c r="X2381">
        <v>14</v>
      </c>
      <c r="Y2381" t="s">
        <v>756</v>
      </c>
      <c r="Z2381" t="s">
        <v>757</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25">
      <c r="X2382">
        <v>14</v>
      </c>
      <c r="Y2382" t="s">
        <v>758</v>
      </c>
      <c r="Z2382" t="s">
        <v>170</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25">
      <c r="X2383">
        <v>14</v>
      </c>
      <c r="Y2383" t="s">
        <v>759</v>
      </c>
      <c r="Z2383" t="s">
        <v>172</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25">
      <c r="X2384">
        <v>14</v>
      </c>
      <c r="Y2384" t="s">
        <v>760</v>
      </c>
      <c r="Z2384" t="s">
        <v>174</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25">
      <c r="X2385">
        <v>14</v>
      </c>
      <c r="Y2385" t="s">
        <v>761</v>
      </c>
      <c r="Z2385" t="s">
        <v>762</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25">
      <c r="X2386">
        <v>14</v>
      </c>
      <c r="Y2386" t="s">
        <v>763</v>
      </c>
      <c r="Z2386" t="s">
        <v>178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25">
      <c r="X2387">
        <v>14</v>
      </c>
      <c r="Y2387" t="s">
        <v>764</v>
      </c>
      <c r="Z2387" t="s">
        <v>109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25">
      <c r="X2388">
        <v>14</v>
      </c>
      <c r="Y2388" t="s">
        <v>765</v>
      </c>
      <c r="Z2388" t="s">
        <v>117</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25">
      <c r="X2389">
        <v>14</v>
      </c>
      <c r="Y2389" t="s">
        <v>766</v>
      </c>
      <c r="Z2389" t="s">
        <v>767</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25">
      <c r="X2390">
        <v>14</v>
      </c>
      <c r="Y2390" t="s">
        <v>768</v>
      </c>
      <c r="Z2390" t="s">
        <v>182</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25">
      <c r="X2391">
        <v>14</v>
      </c>
      <c r="Y2391" t="s">
        <v>769</v>
      </c>
      <c r="Z2391" t="s">
        <v>184</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25">
      <c r="X2392">
        <v>14</v>
      </c>
      <c r="Y2392" t="s">
        <v>770</v>
      </c>
      <c r="Z2392" t="s">
        <v>186</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25">
      <c r="X2393">
        <v>14</v>
      </c>
      <c r="Y2393" t="s">
        <v>771</v>
      </c>
      <c r="Z2393" t="s">
        <v>772</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25">
      <c r="X2394">
        <v>14</v>
      </c>
      <c r="Y2394" t="s">
        <v>773</v>
      </c>
      <c r="Z2394" t="s">
        <v>190</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25">
      <c r="X2395">
        <v>14</v>
      </c>
      <c r="Y2395" t="s">
        <v>709</v>
      </c>
      <c r="Z2395" t="s">
        <v>192</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25">
      <c r="X2396">
        <v>14</v>
      </c>
      <c r="Y2396" t="s">
        <v>774</v>
      </c>
      <c r="Z2396" t="s">
        <v>194</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25">
      <c r="X2397">
        <v>14</v>
      </c>
      <c r="Y2397" t="s">
        <v>775</v>
      </c>
      <c r="Z2397" t="s">
        <v>196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25">
      <c r="X2398">
        <v>14</v>
      </c>
      <c r="Y2398" t="s">
        <v>776</v>
      </c>
      <c r="Z2398" t="s">
        <v>605</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25">
      <c r="X2399">
        <v>14</v>
      </c>
      <c r="Y2399" t="s">
        <v>711</v>
      </c>
      <c r="Z2399" t="s">
        <v>200</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25">
      <c r="X2400">
        <v>14</v>
      </c>
      <c r="Y2400" t="s">
        <v>777</v>
      </c>
      <c r="Z2400" t="s">
        <v>202</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25">
      <c r="X2401">
        <v>14</v>
      </c>
      <c r="Y2401" t="s">
        <v>778</v>
      </c>
      <c r="Z2401" t="s">
        <v>204</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25">
      <c r="X2402">
        <v>14</v>
      </c>
      <c r="Y2402" t="s">
        <v>779</v>
      </c>
      <c r="Z2402" t="s">
        <v>605</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25">
      <c r="X2403">
        <v>14</v>
      </c>
      <c r="Y2403" t="s">
        <v>712</v>
      </c>
      <c r="Z2403" t="s">
        <v>780</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25">
      <c r="X2404">
        <v>14</v>
      </c>
      <c r="Y2404" t="s">
        <v>781</v>
      </c>
      <c r="Z2404" t="s">
        <v>782</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25">
      <c r="X2405">
        <v>14</v>
      </c>
      <c r="Y2405" t="s">
        <v>783</v>
      </c>
      <c r="Z2405" t="s">
        <v>784</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25">
      <c r="X2406">
        <v>14</v>
      </c>
      <c r="Y2406" t="s">
        <v>785</v>
      </c>
      <c r="Z2406" t="s">
        <v>786</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25">
      <c r="X2407">
        <v>14</v>
      </c>
      <c r="Y2407" t="s">
        <v>787</v>
      </c>
      <c r="Z2407" t="s">
        <v>633</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25">
      <c r="X2408">
        <v>14</v>
      </c>
      <c r="Y2408" s="53" t="s">
        <v>753</v>
      </c>
      <c r="Z2408" s="53" t="s">
        <v>162</v>
      </c>
      <c r="AA2408" s="53" t="str">
        <f>IF(OR(VLOOKUP(Table1[[#This Row],[sheet]],Prg!$A$7:$F$31,6,FALSE)=Prg!$O$2,VLOOKUP(Table1[[#This Row],[sheet]],Prg!$A$7:$F$31,6,FALSE)=Prg!$O$3),"Yes","No")</f>
        <v>No</v>
      </c>
      <c r="AB2408" s="53">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25">
      <c r="X2409">
        <v>14</v>
      </c>
      <c r="Y2409" t="s">
        <v>754</v>
      </c>
      <c r="Z2409" t="s">
        <v>164</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25">
      <c r="X2410">
        <v>14</v>
      </c>
      <c r="Y2410" t="s">
        <v>755</v>
      </c>
      <c r="Z2410" t="s">
        <v>166</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25">
      <c r="X2411">
        <v>14</v>
      </c>
      <c r="Y2411" t="s">
        <v>756</v>
      </c>
      <c r="Z2411" t="s">
        <v>757</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25">
      <c r="X2412">
        <v>14</v>
      </c>
      <c r="Y2412" t="s">
        <v>758</v>
      </c>
      <c r="Z2412" t="s">
        <v>170</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25">
      <c r="X2413">
        <v>14</v>
      </c>
      <c r="Y2413" t="s">
        <v>759</v>
      </c>
      <c r="Z2413" t="s">
        <v>172</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25">
      <c r="X2414">
        <v>14</v>
      </c>
      <c r="Y2414" t="s">
        <v>760</v>
      </c>
      <c r="Z2414" t="s">
        <v>174</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25">
      <c r="X2415">
        <v>14</v>
      </c>
      <c r="Y2415" t="s">
        <v>761</v>
      </c>
      <c r="Z2415" t="s">
        <v>762</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25">
      <c r="X2416">
        <v>14</v>
      </c>
      <c r="Y2416" t="s">
        <v>763</v>
      </c>
      <c r="Z2416" t="s">
        <v>178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25">
      <c r="X2417">
        <v>14</v>
      </c>
      <c r="Y2417" t="s">
        <v>764</v>
      </c>
      <c r="Z2417" t="s">
        <v>109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25">
      <c r="X2418">
        <v>14</v>
      </c>
      <c r="Y2418" t="s">
        <v>765</v>
      </c>
      <c r="Z2418" t="s">
        <v>117</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25">
      <c r="X2419">
        <v>14</v>
      </c>
      <c r="Y2419" t="s">
        <v>766</v>
      </c>
      <c r="Z2419" t="s">
        <v>767</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25">
      <c r="X2420">
        <v>14</v>
      </c>
      <c r="Y2420" t="s">
        <v>768</v>
      </c>
      <c r="Z2420" t="s">
        <v>182</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25">
      <c r="X2421">
        <v>14</v>
      </c>
      <c r="Y2421" t="s">
        <v>769</v>
      </c>
      <c r="Z2421" t="s">
        <v>184</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25">
      <c r="X2422">
        <v>14</v>
      </c>
      <c r="Y2422" t="s">
        <v>770</v>
      </c>
      <c r="Z2422" t="s">
        <v>186</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25">
      <c r="X2423">
        <v>14</v>
      </c>
      <c r="Y2423" t="s">
        <v>771</v>
      </c>
      <c r="Z2423" t="s">
        <v>772</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25">
      <c r="X2424">
        <v>14</v>
      </c>
      <c r="Y2424" t="s">
        <v>773</v>
      </c>
      <c r="Z2424" t="s">
        <v>190</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25">
      <c r="X2425">
        <v>14</v>
      </c>
      <c r="Y2425" t="s">
        <v>709</v>
      </c>
      <c r="Z2425" t="s">
        <v>192</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25">
      <c r="X2426">
        <v>14</v>
      </c>
      <c r="Y2426" t="s">
        <v>774</v>
      </c>
      <c r="Z2426" t="s">
        <v>194</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25">
      <c r="X2427">
        <v>14</v>
      </c>
      <c r="Y2427" t="s">
        <v>775</v>
      </c>
      <c r="Z2427" t="s">
        <v>196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25">
      <c r="X2428">
        <v>14</v>
      </c>
      <c r="Y2428" t="s">
        <v>776</v>
      </c>
      <c r="Z2428" t="s">
        <v>605</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25">
      <c r="X2429">
        <v>14</v>
      </c>
      <c r="Y2429" t="s">
        <v>711</v>
      </c>
      <c r="Z2429" t="s">
        <v>200</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25">
      <c r="X2430">
        <v>14</v>
      </c>
      <c r="Y2430" t="s">
        <v>777</v>
      </c>
      <c r="Z2430" t="s">
        <v>202</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25">
      <c r="X2431">
        <v>14</v>
      </c>
      <c r="Y2431" t="s">
        <v>778</v>
      </c>
      <c r="Z2431" t="s">
        <v>204</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25">
      <c r="X2432">
        <v>14</v>
      </c>
      <c r="Y2432" t="s">
        <v>779</v>
      </c>
      <c r="Z2432" t="s">
        <v>605</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25">
      <c r="X2433">
        <v>14</v>
      </c>
      <c r="Y2433" t="s">
        <v>712</v>
      </c>
      <c r="Z2433" t="s">
        <v>780</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25">
      <c r="X2434">
        <v>14</v>
      </c>
      <c r="Y2434" t="s">
        <v>781</v>
      </c>
      <c r="Z2434" t="s">
        <v>782</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25">
      <c r="X2435">
        <v>14</v>
      </c>
      <c r="Y2435" t="s">
        <v>783</v>
      </c>
      <c r="Z2435" t="s">
        <v>784</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25">
      <c r="X2436">
        <v>14</v>
      </c>
      <c r="Y2436" t="s">
        <v>785</v>
      </c>
      <c r="Z2436" t="s">
        <v>786</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25">
      <c r="X2437">
        <v>14</v>
      </c>
      <c r="Y2437" t="s">
        <v>787</v>
      </c>
      <c r="Z2437" t="s">
        <v>633</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25">
      <c r="X2438">
        <v>14</v>
      </c>
      <c r="Y2438" s="53" t="s">
        <v>753</v>
      </c>
      <c r="Z2438" s="53" t="s">
        <v>162</v>
      </c>
      <c r="AA2438" s="53" t="str">
        <f>IF(OR(VLOOKUP(Table1[[#This Row],[sheet]],Prg!$A$7:$F$31,6,FALSE)=Prg!$O$2,VLOOKUP(Table1[[#This Row],[sheet]],Prg!$A$7:$F$31,6,FALSE)=Prg!$O$3),"Yes","No")</f>
        <v>No</v>
      </c>
      <c r="AB2438" s="53">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25">
      <c r="X2439">
        <v>14</v>
      </c>
      <c r="Y2439" t="s">
        <v>754</v>
      </c>
      <c r="Z2439" t="s">
        <v>164</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25">
      <c r="X2440">
        <v>14</v>
      </c>
      <c r="Y2440" t="s">
        <v>755</v>
      </c>
      <c r="Z2440" t="s">
        <v>166</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25">
      <c r="X2441">
        <v>14</v>
      </c>
      <c r="Y2441" t="s">
        <v>756</v>
      </c>
      <c r="Z2441" t="s">
        <v>757</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25">
      <c r="X2442">
        <v>14</v>
      </c>
      <c r="Y2442" t="s">
        <v>758</v>
      </c>
      <c r="Z2442" t="s">
        <v>170</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25">
      <c r="X2443">
        <v>14</v>
      </c>
      <c r="Y2443" t="s">
        <v>759</v>
      </c>
      <c r="Z2443" t="s">
        <v>172</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25">
      <c r="X2444">
        <v>14</v>
      </c>
      <c r="Y2444" t="s">
        <v>760</v>
      </c>
      <c r="Z2444" t="s">
        <v>174</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25">
      <c r="X2445">
        <v>14</v>
      </c>
      <c r="Y2445" t="s">
        <v>761</v>
      </c>
      <c r="Z2445" t="s">
        <v>762</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25">
      <c r="X2446">
        <v>14</v>
      </c>
      <c r="Y2446" t="s">
        <v>763</v>
      </c>
      <c r="Z2446" t="s">
        <v>178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25">
      <c r="X2447">
        <v>14</v>
      </c>
      <c r="Y2447" t="s">
        <v>764</v>
      </c>
      <c r="Z2447" t="s">
        <v>109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25">
      <c r="X2448">
        <v>14</v>
      </c>
      <c r="Y2448" t="s">
        <v>765</v>
      </c>
      <c r="Z2448" t="s">
        <v>117</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25">
      <c r="X2449">
        <v>14</v>
      </c>
      <c r="Y2449" t="s">
        <v>766</v>
      </c>
      <c r="Z2449" t="s">
        <v>767</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25">
      <c r="X2450">
        <v>14</v>
      </c>
      <c r="Y2450" t="s">
        <v>768</v>
      </c>
      <c r="Z2450" t="s">
        <v>182</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25">
      <c r="X2451">
        <v>14</v>
      </c>
      <c r="Y2451" t="s">
        <v>769</v>
      </c>
      <c r="Z2451" t="s">
        <v>184</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25">
      <c r="X2452">
        <v>14</v>
      </c>
      <c r="Y2452" t="s">
        <v>770</v>
      </c>
      <c r="Z2452" t="s">
        <v>186</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25">
      <c r="X2453">
        <v>14</v>
      </c>
      <c r="Y2453" t="s">
        <v>771</v>
      </c>
      <c r="Z2453" t="s">
        <v>772</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25">
      <c r="X2454">
        <v>14</v>
      </c>
      <c r="Y2454" t="s">
        <v>773</v>
      </c>
      <c r="Z2454" t="s">
        <v>190</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25">
      <c r="X2455">
        <v>14</v>
      </c>
      <c r="Y2455" t="s">
        <v>709</v>
      </c>
      <c r="Z2455" t="s">
        <v>192</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25">
      <c r="X2456">
        <v>14</v>
      </c>
      <c r="Y2456" t="s">
        <v>774</v>
      </c>
      <c r="Z2456" t="s">
        <v>194</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25">
      <c r="X2457">
        <v>14</v>
      </c>
      <c r="Y2457" t="s">
        <v>775</v>
      </c>
      <c r="Z2457" t="s">
        <v>196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25">
      <c r="X2458">
        <v>14</v>
      </c>
      <c r="Y2458" t="s">
        <v>776</v>
      </c>
      <c r="Z2458" t="s">
        <v>605</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25">
      <c r="X2459">
        <v>14</v>
      </c>
      <c r="Y2459" t="s">
        <v>711</v>
      </c>
      <c r="Z2459" t="s">
        <v>200</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25">
      <c r="X2460">
        <v>14</v>
      </c>
      <c r="Y2460" t="s">
        <v>777</v>
      </c>
      <c r="Z2460" t="s">
        <v>202</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25">
      <c r="X2461">
        <v>14</v>
      </c>
      <c r="Y2461" t="s">
        <v>778</v>
      </c>
      <c r="Z2461" t="s">
        <v>204</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25">
      <c r="X2462">
        <v>14</v>
      </c>
      <c r="Y2462" t="s">
        <v>779</v>
      </c>
      <c r="Z2462" t="s">
        <v>605</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25">
      <c r="X2463">
        <v>14</v>
      </c>
      <c r="Y2463" t="s">
        <v>712</v>
      </c>
      <c r="Z2463" t="s">
        <v>780</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25">
      <c r="X2464">
        <v>14</v>
      </c>
      <c r="Y2464" t="s">
        <v>781</v>
      </c>
      <c r="Z2464" t="s">
        <v>782</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25">
      <c r="X2465">
        <v>14</v>
      </c>
      <c r="Y2465" t="s">
        <v>783</v>
      </c>
      <c r="Z2465" t="s">
        <v>784</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25">
      <c r="X2466">
        <v>14</v>
      </c>
      <c r="Y2466" t="s">
        <v>785</v>
      </c>
      <c r="Z2466" t="s">
        <v>786</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25">
      <c r="X2467">
        <v>14</v>
      </c>
      <c r="Y2467" t="s">
        <v>787</v>
      </c>
      <c r="Z2467" t="s">
        <v>633</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25">
      <c r="X2468">
        <v>14</v>
      </c>
      <c r="Y2468" s="53" t="s">
        <v>753</v>
      </c>
      <c r="Z2468" s="53" t="s">
        <v>162</v>
      </c>
      <c r="AA2468" s="53" t="str">
        <f>IF(OR(VLOOKUP(Table1[[#This Row],[sheet]],Prg!$A$7:$F$31,6,FALSE)=Prg!$O$2,VLOOKUP(Table1[[#This Row],[sheet]],Prg!$A$7:$F$31,6,FALSE)=Prg!$O$3),"Yes","No")</f>
        <v>No</v>
      </c>
      <c r="AB2468" s="53">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25">
      <c r="X2469">
        <v>14</v>
      </c>
      <c r="Y2469" t="s">
        <v>754</v>
      </c>
      <c r="Z2469" t="s">
        <v>164</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25">
      <c r="X2470">
        <v>14</v>
      </c>
      <c r="Y2470" t="s">
        <v>755</v>
      </c>
      <c r="Z2470" t="s">
        <v>166</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25">
      <c r="X2471">
        <v>14</v>
      </c>
      <c r="Y2471" t="s">
        <v>756</v>
      </c>
      <c r="Z2471" t="s">
        <v>757</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25">
      <c r="X2472">
        <v>14</v>
      </c>
      <c r="Y2472" t="s">
        <v>758</v>
      </c>
      <c r="Z2472" t="s">
        <v>170</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25">
      <c r="X2473">
        <v>14</v>
      </c>
      <c r="Y2473" t="s">
        <v>759</v>
      </c>
      <c r="Z2473" t="s">
        <v>172</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25">
      <c r="X2474">
        <v>14</v>
      </c>
      <c r="Y2474" t="s">
        <v>760</v>
      </c>
      <c r="Z2474" t="s">
        <v>174</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25">
      <c r="X2475">
        <v>14</v>
      </c>
      <c r="Y2475" t="s">
        <v>761</v>
      </c>
      <c r="Z2475" t="s">
        <v>762</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25">
      <c r="X2476">
        <v>14</v>
      </c>
      <c r="Y2476" t="s">
        <v>763</v>
      </c>
      <c r="Z2476" t="s">
        <v>178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25">
      <c r="X2477">
        <v>14</v>
      </c>
      <c r="Y2477" t="s">
        <v>764</v>
      </c>
      <c r="Z2477" t="s">
        <v>109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25">
      <c r="X2478">
        <v>14</v>
      </c>
      <c r="Y2478" t="s">
        <v>765</v>
      </c>
      <c r="Z2478" t="s">
        <v>117</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25">
      <c r="X2479">
        <v>14</v>
      </c>
      <c r="Y2479" t="s">
        <v>766</v>
      </c>
      <c r="Z2479" t="s">
        <v>767</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25">
      <c r="X2480">
        <v>14</v>
      </c>
      <c r="Y2480" t="s">
        <v>768</v>
      </c>
      <c r="Z2480" t="s">
        <v>182</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25">
      <c r="X2481">
        <v>14</v>
      </c>
      <c r="Y2481" t="s">
        <v>769</v>
      </c>
      <c r="Z2481" t="s">
        <v>184</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25">
      <c r="X2482">
        <v>14</v>
      </c>
      <c r="Y2482" t="s">
        <v>770</v>
      </c>
      <c r="Z2482" t="s">
        <v>186</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25">
      <c r="X2483">
        <v>14</v>
      </c>
      <c r="Y2483" t="s">
        <v>771</v>
      </c>
      <c r="Z2483" t="s">
        <v>772</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25">
      <c r="X2484">
        <v>14</v>
      </c>
      <c r="Y2484" t="s">
        <v>773</v>
      </c>
      <c r="Z2484" t="s">
        <v>190</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25">
      <c r="X2485">
        <v>14</v>
      </c>
      <c r="Y2485" t="s">
        <v>709</v>
      </c>
      <c r="Z2485" t="s">
        <v>192</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25">
      <c r="X2486">
        <v>14</v>
      </c>
      <c r="Y2486" t="s">
        <v>774</v>
      </c>
      <c r="Z2486" t="s">
        <v>194</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25">
      <c r="X2487">
        <v>14</v>
      </c>
      <c r="Y2487" t="s">
        <v>775</v>
      </c>
      <c r="Z2487" t="s">
        <v>196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25">
      <c r="X2488">
        <v>14</v>
      </c>
      <c r="Y2488" t="s">
        <v>776</v>
      </c>
      <c r="Z2488" t="s">
        <v>605</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25">
      <c r="X2489">
        <v>14</v>
      </c>
      <c r="Y2489" t="s">
        <v>711</v>
      </c>
      <c r="Z2489" t="s">
        <v>200</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25">
      <c r="X2490">
        <v>14</v>
      </c>
      <c r="Y2490" t="s">
        <v>777</v>
      </c>
      <c r="Z2490" t="s">
        <v>202</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25">
      <c r="X2491">
        <v>14</v>
      </c>
      <c r="Y2491" t="s">
        <v>778</v>
      </c>
      <c r="Z2491" t="s">
        <v>204</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25">
      <c r="X2492">
        <v>14</v>
      </c>
      <c r="Y2492" t="s">
        <v>779</v>
      </c>
      <c r="Z2492" t="s">
        <v>605</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25">
      <c r="X2493">
        <v>14</v>
      </c>
      <c r="Y2493" t="s">
        <v>712</v>
      </c>
      <c r="Z2493" t="s">
        <v>780</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25">
      <c r="X2494">
        <v>14</v>
      </c>
      <c r="Y2494" t="s">
        <v>781</v>
      </c>
      <c r="Z2494" t="s">
        <v>782</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25">
      <c r="X2495">
        <v>14</v>
      </c>
      <c r="Y2495" t="s">
        <v>783</v>
      </c>
      <c r="Z2495" t="s">
        <v>784</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25">
      <c r="X2496">
        <v>14</v>
      </c>
      <c r="Y2496" t="s">
        <v>785</v>
      </c>
      <c r="Z2496" t="s">
        <v>786</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25">
      <c r="X2497">
        <v>14</v>
      </c>
      <c r="Y2497" t="s">
        <v>787</v>
      </c>
      <c r="Z2497" t="s">
        <v>633</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25">
      <c r="X2498">
        <v>14</v>
      </c>
      <c r="Y2498" s="53" t="s">
        <v>753</v>
      </c>
      <c r="Z2498" s="53" t="s">
        <v>162</v>
      </c>
      <c r="AA2498" s="53" t="str">
        <f>IF(OR(VLOOKUP(Table1[[#This Row],[sheet]],Prg!$A$7:$F$31,6,FALSE)=Prg!$O$2,VLOOKUP(Table1[[#This Row],[sheet]],Prg!$A$7:$F$31,6,FALSE)=Prg!$O$3),"Yes","No")</f>
        <v>No</v>
      </c>
      <c r="AB2498" s="53" t="s">
        <v>78</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25">
      <c r="X2499">
        <v>14</v>
      </c>
      <c r="Y2499" t="s">
        <v>754</v>
      </c>
      <c r="Z2499" t="s">
        <v>164</v>
      </c>
      <c r="AA2499" t="str">
        <f>IF(OR(VLOOKUP(Table1[[#This Row],[sheet]],Prg!$A$7:$F$31,6,FALSE)=Prg!$O$2,VLOOKUP(Table1[[#This Row],[sheet]],Prg!$A$7:$F$31,6,FALSE)=Prg!$O$3),"Yes","No")</f>
        <v>No</v>
      </c>
      <c r="AB2499" t="s">
        <v>78</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25">
      <c r="X2500">
        <v>14</v>
      </c>
      <c r="Y2500" t="s">
        <v>755</v>
      </c>
      <c r="Z2500" t="s">
        <v>166</v>
      </c>
      <c r="AA2500" t="str">
        <f>IF(OR(VLOOKUP(Table1[[#This Row],[sheet]],Prg!$A$7:$F$31,6,FALSE)=Prg!$O$2,VLOOKUP(Table1[[#This Row],[sheet]],Prg!$A$7:$F$31,6,FALSE)=Prg!$O$3),"Yes","No")</f>
        <v>No</v>
      </c>
      <c r="AB2500" t="s">
        <v>78</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25">
      <c r="X2501">
        <v>14</v>
      </c>
      <c r="Y2501" t="s">
        <v>756</v>
      </c>
      <c r="Z2501" t="s">
        <v>757</v>
      </c>
      <c r="AA2501" t="str">
        <f>IF(OR(VLOOKUP(Table1[[#This Row],[sheet]],Prg!$A$7:$F$31,6,FALSE)=Prg!$O$2,VLOOKUP(Table1[[#This Row],[sheet]],Prg!$A$7:$F$31,6,FALSE)=Prg!$O$3),"Yes","No")</f>
        <v>No</v>
      </c>
      <c r="AB2501" t="s">
        <v>78</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25">
      <c r="X2502">
        <v>14</v>
      </c>
      <c r="Y2502" t="s">
        <v>758</v>
      </c>
      <c r="Z2502" t="s">
        <v>170</v>
      </c>
      <c r="AA2502" t="str">
        <f>IF(OR(VLOOKUP(Table1[[#This Row],[sheet]],Prg!$A$7:$F$31,6,FALSE)=Prg!$O$2,VLOOKUP(Table1[[#This Row],[sheet]],Prg!$A$7:$F$31,6,FALSE)=Prg!$O$3),"Yes","No")</f>
        <v>No</v>
      </c>
      <c r="AB2502" t="s">
        <v>78</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25">
      <c r="X2503">
        <v>14</v>
      </c>
      <c r="Y2503" t="s">
        <v>759</v>
      </c>
      <c r="Z2503" t="s">
        <v>172</v>
      </c>
      <c r="AA2503" t="str">
        <f>IF(OR(VLOOKUP(Table1[[#This Row],[sheet]],Prg!$A$7:$F$31,6,FALSE)=Prg!$O$2,VLOOKUP(Table1[[#This Row],[sheet]],Prg!$A$7:$F$31,6,FALSE)=Prg!$O$3),"Yes","No")</f>
        <v>No</v>
      </c>
      <c r="AB2503" t="s">
        <v>78</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25">
      <c r="X2504">
        <v>14</v>
      </c>
      <c r="Y2504" t="s">
        <v>760</v>
      </c>
      <c r="Z2504" t="s">
        <v>174</v>
      </c>
      <c r="AA2504" t="str">
        <f>IF(OR(VLOOKUP(Table1[[#This Row],[sheet]],Prg!$A$7:$F$31,6,FALSE)=Prg!$O$2,VLOOKUP(Table1[[#This Row],[sheet]],Prg!$A$7:$F$31,6,FALSE)=Prg!$O$3),"Yes","No")</f>
        <v>No</v>
      </c>
      <c r="AB2504" t="s">
        <v>78</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25">
      <c r="X2505">
        <v>14</v>
      </c>
      <c r="Y2505" t="s">
        <v>761</v>
      </c>
      <c r="Z2505" t="s">
        <v>762</v>
      </c>
      <c r="AA2505" t="str">
        <f>IF(OR(VLOOKUP(Table1[[#This Row],[sheet]],Prg!$A$7:$F$31,6,FALSE)=Prg!$O$2,VLOOKUP(Table1[[#This Row],[sheet]],Prg!$A$7:$F$31,6,FALSE)=Prg!$O$3),"Yes","No")</f>
        <v>No</v>
      </c>
      <c r="AB2505" t="s">
        <v>78</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25">
      <c r="X2506">
        <v>14</v>
      </c>
      <c r="Y2506" t="s">
        <v>763</v>
      </c>
      <c r="Z2506" t="s">
        <v>178</v>
      </c>
      <c r="AA2506" t="str">
        <f>IF(OR(VLOOKUP(Table1[[#This Row],[sheet]],Prg!$A$7:$F$31,6,FALSE)=Prg!$O$2,VLOOKUP(Table1[[#This Row],[sheet]],Prg!$A$7:$F$31,6,FALSE)=Prg!$O$3),"Yes","No")</f>
        <v>No</v>
      </c>
      <c r="AB2506" t="s">
        <v>78</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25">
      <c r="X2507">
        <v>14</v>
      </c>
      <c r="Y2507" t="s">
        <v>764</v>
      </c>
      <c r="Z2507" t="s">
        <v>109</v>
      </c>
      <c r="AA2507" t="str">
        <f>IF(OR(VLOOKUP(Table1[[#This Row],[sheet]],Prg!$A$7:$F$31,6,FALSE)=Prg!$O$2,VLOOKUP(Table1[[#This Row],[sheet]],Prg!$A$7:$F$31,6,FALSE)=Prg!$O$3),"Yes","No")</f>
        <v>No</v>
      </c>
      <c r="AB2507" t="s">
        <v>78</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25">
      <c r="X2508">
        <v>14</v>
      </c>
      <c r="Y2508" t="s">
        <v>765</v>
      </c>
      <c r="Z2508" t="s">
        <v>117</v>
      </c>
      <c r="AA2508" t="str">
        <f>IF(OR(VLOOKUP(Table1[[#This Row],[sheet]],Prg!$A$7:$F$31,6,FALSE)=Prg!$O$2,VLOOKUP(Table1[[#This Row],[sheet]],Prg!$A$7:$F$31,6,FALSE)=Prg!$O$3),"Yes","No")</f>
        <v>No</v>
      </c>
      <c r="AB2508" t="s">
        <v>78</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25">
      <c r="X2509">
        <v>14</v>
      </c>
      <c r="Y2509" t="s">
        <v>766</v>
      </c>
      <c r="Z2509" t="s">
        <v>767</v>
      </c>
      <c r="AA2509" t="str">
        <f>IF(OR(VLOOKUP(Table1[[#This Row],[sheet]],Prg!$A$7:$F$31,6,FALSE)=Prg!$O$2,VLOOKUP(Table1[[#This Row],[sheet]],Prg!$A$7:$F$31,6,FALSE)=Prg!$O$3),"Yes","No")</f>
        <v>No</v>
      </c>
      <c r="AB2509" t="s">
        <v>78</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25">
      <c r="X2510">
        <v>14</v>
      </c>
      <c r="Y2510" t="s">
        <v>768</v>
      </c>
      <c r="Z2510" t="s">
        <v>182</v>
      </c>
      <c r="AA2510" t="str">
        <f>IF(OR(VLOOKUP(Table1[[#This Row],[sheet]],Prg!$A$7:$F$31,6,FALSE)=Prg!$O$2,VLOOKUP(Table1[[#This Row],[sheet]],Prg!$A$7:$F$31,6,FALSE)=Prg!$O$3),"Yes","No")</f>
        <v>No</v>
      </c>
      <c r="AB2510" t="s">
        <v>78</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25">
      <c r="X2511">
        <v>14</v>
      </c>
      <c r="Y2511" t="s">
        <v>769</v>
      </c>
      <c r="Z2511" t="s">
        <v>184</v>
      </c>
      <c r="AA2511" t="str">
        <f>IF(OR(VLOOKUP(Table1[[#This Row],[sheet]],Prg!$A$7:$F$31,6,FALSE)=Prg!$O$2,VLOOKUP(Table1[[#This Row],[sheet]],Prg!$A$7:$F$31,6,FALSE)=Prg!$O$3),"Yes","No")</f>
        <v>No</v>
      </c>
      <c r="AB2511" t="s">
        <v>78</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25">
      <c r="X2512">
        <v>14</v>
      </c>
      <c r="Y2512" t="s">
        <v>770</v>
      </c>
      <c r="Z2512" t="s">
        <v>186</v>
      </c>
      <c r="AA2512" t="str">
        <f>IF(OR(VLOOKUP(Table1[[#This Row],[sheet]],Prg!$A$7:$F$31,6,FALSE)=Prg!$O$2,VLOOKUP(Table1[[#This Row],[sheet]],Prg!$A$7:$F$31,6,FALSE)=Prg!$O$3),"Yes","No")</f>
        <v>No</v>
      </c>
      <c r="AB2512" t="s">
        <v>78</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25">
      <c r="X2513">
        <v>14</v>
      </c>
      <c r="Y2513" t="s">
        <v>771</v>
      </c>
      <c r="Z2513" t="s">
        <v>772</v>
      </c>
      <c r="AA2513" t="str">
        <f>IF(OR(VLOOKUP(Table1[[#This Row],[sheet]],Prg!$A$7:$F$31,6,FALSE)=Prg!$O$2,VLOOKUP(Table1[[#This Row],[sheet]],Prg!$A$7:$F$31,6,FALSE)=Prg!$O$3),"Yes","No")</f>
        <v>No</v>
      </c>
      <c r="AB2513" t="s">
        <v>78</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25">
      <c r="X2514">
        <v>14</v>
      </c>
      <c r="Y2514" t="s">
        <v>773</v>
      </c>
      <c r="Z2514" t="s">
        <v>190</v>
      </c>
      <c r="AA2514" t="str">
        <f>IF(OR(VLOOKUP(Table1[[#This Row],[sheet]],Prg!$A$7:$F$31,6,FALSE)=Prg!$O$2,VLOOKUP(Table1[[#This Row],[sheet]],Prg!$A$7:$F$31,6,FALSE)=Prg!$O$3),"Yes","No")</f>
        <v>No</v>
      </c>
      <c r="AB2514" t="s">
        <v>78</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25">
      <c r="X2515">
        <v>14</v>
      </c>
      <c r="Y2515" t="s">
        <v>709</v>
      </c>
      <c r="Z2515" t="s">
        <v>192</v>
      </c>
      <c r="AA2515" t="str">
        <f>IF(OR(VLOOKUP(Table1[[#This Row],[sheet]],Prg!$A$7:$F$31,6,FALSE)=Prg!$O$2,VLOOKUP(Table1[[#This Row],[sheet]],Prg!$A$7:$F$31,6,FALSE)=Prg!$O$3),"Yes","No")</f>
        <v>No</v>
      </c>
      <c r="AB2515" t="s">
        <v>78</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25">
      <c r="X2516">
        <v>14</v>
      </c>
      <c r="Y2516" t="s">
        <v>774</v>
      </c>
      <c r="Z2516" t="s">
        <v>194</v>
      </c>
      <c r="AA2516" t="str">
        <f>IF(OR(VLOOKUP(Table1[[#This Row],[sheet]],Prg!$A$7:$F$31,6,FALSE)=Prg!$O$2,VLOOKUP(Table1[[#This Row],[sheet]],Prg!$A$7:$F$31,6,FALSE)=Prg!$O$3),"Yes","No")</f>
        <v>No</v>
      </c>
      <c r="AB2516" t="s">
        <v>78</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25">
      <c r="X2517">
        <v>14</v>
      </c>
      <c r="Y2517" t="s">
        <v>775</v>
      </c>
      <c r="Z2517" t="s">
        <v>196</v>
      </c>
      <c r="AA2517" t="str">
        <f>IF(OR(VLOOKUP(Table1[[#This Row],[sheet]],Prg!$A$7:$F$31,6,FALSE)=Prg!$O$2,VLOOKUP(Table1[[#This Row],[sheet]],Prg!$A$7:$F$31,6,FALSE)=Prg!$O$3),"Yes","No")</f>
        <v>No</v>
      </c>
      <c r="AB2517" t="s">
        <v>78</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25">
      <c r="X2518">
        <v>14</v>
      </c>
      <c r="Y2518" t="s">
        <v>776</v>
      </c>
      <c r="Z2518" t="s">
        <v>605</v>
      </c>
      <c r="AA2518" t="str">
        <f>IF(OR(VLOOKUP(Table1[[#This Row],[sheet]],Prg!$A$7:$F$31,6,FALSE)=Prg!$O$2,VLOOKUP(Table1[[#This Row],[sheet]],Prg!$A$7:$F$31,6,FALSE)=Prg!$O$3),"Yes","No")</f>
        <v>No</v>
      </c>
      <c r="AB2518" t="s">
        <v>78</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25">
      <c r="X2519">
        <v>14</v>
      </c>
      <c r="Y2519" t="s">
        <v>711</v>
      </c>
      <c r="Z2519" t="s">
        <v>200</v>
      </c>
      <c r="AA2519" t="str">
        <f>IF(OR(VLOOKUP(Table1[[#This Row],[sheet]],Prg!$A$7:$F$31,6,FALSE)=Prg!$O$2,VLOOKUP(Table1[[#This Row],[sheet]],Prg!$A$7:$F$31,6,FALSE)=Prg!$O$3),"Yes","No")</f>
        <v>No</v>
      </c>
      <c r="AB2519" t="s">
        <v>78</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25">
      <c r="X2520">
        <v>14</v>
      </c>
      <c r="Y2520" t="s">
        <v>777</v>
      </c>
      <c r="Z2520" t="s">
        <v>202</v>
      </c>
      <c r="AA2520" t="str">
        <f>IF(OR(VLOOKUP(Table1[[#This Row],[sheet]],Prg!$A$7:$F$31,6,FALSE)=Prg!$O$2,VLOOKUP(Table1[[#This Row],[sheet]],Prg!$A$7:$F$31,6,FALSE)=Prg!$O$3),"Yes","No")</f>
        <v>No</v>
      </c>
      <c r="AB2520" t="s">
        <v>78</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25">
      <c r="X2521">
        <v>14</v>
      </c>
      <c r="Y2521" t="s">
        <v>778</v>
      </c>
      <c r="Z2521" t="s">
        <v>204</v>
      </c>
      <c r="AA2521" t="str">
        <f>IF(OR(VLOOKUP(Table1[[#This Row],[sheet]],Prg!$A$7:$F$31,6,FALSE)=Prg!$O$2,VLOOKUP(Table1[[#This Row],[sheet]],Prg!$A$7:$F$31,6,FALSE)=Prg!$O$3),"Yes","No")</f>
        <v>No</v>
      </c>
      <c r="AB2521" t="s">
        <v>78</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25">
      <c r="X2522">
        <v>14</v>
      </c>
      <c r="Y2522" t="s">
        <v>779</v>
      </c>
      <c r="Z2522" t="s">
        <v>605</v>
      </c>
      <c r="AA2522" t="str">
        <f>IF(OR(VLOOKUP(Table1[[#This Row],[sheet]],Prg!$A$7:$F$31,6,FALSE)=Prg!$O$2,VLOOKUP(Table1[[#This Row],[sheet]],Prg!$A$7:$F$31,6,FALSE)=Prg!$O$3),"Yes","No")</f>
        <v>No</v>
      </c>
      <c r="AB2522" t="s">
        <v>78</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25">
      <c r="X2523">
        <v>14</v>
      </c>
      <c r="Y2523" t="s">
        <v>712</v>
      </c>
      <c r="Z2523" t="s">
        <v>780</v>
      </c>
      <c r="AA2523" t="str">
        <f>IF(OR(VLOOKUP(Table1[[#This Row],[sheet]],Prg!$A$7:$F$31,6,FALSE)=Prg!$O$2,VLOOKUP(Table1[[#This Row],[sheet]],Prg!$A$7:$F$31,6,FALSE)=Prg!$O$3),"Yes","No")</f>
        <v>No</v>
      </c>
      <c r="AB2523" t="s">
        <v>78</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25">
      <c r="X2524">
        <v>14</v>
      </c>
      <c r="Y2524" t="s">
        <v>781</v>
      </c>
      <c r="Z2524" t="s">
        <v>782</v>
      </c>
      <c r="AA2524" t="str">
        <f>IF(OR(VLOOKUP(Table1[[#This Row],[sheet]],Prg!$A$7:$F$31,6,FALSE)=Prg!$O$2,VLOOKUP(Table1[[#This Row],[sheet]],Prg!$A$7:$F$31,6,FALSE)=Prg!$O$3),"Yes","No")</f>
        <v>No</v>
      </c>
      <c r="AB2524" t="s">
        <v>78</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25">
      <c r="X2525">
        <v>14</v>
      </c>
      <c r="Y2525" t="s">
        <v>783</v>
      </c>
      <c r="Z2525" t="s">
        <v>784</v>
      </c>
      <c r="AA2525" t="str">
        <f>IF(OR(VLOOKUP(Table1[[#This Row],[sheet]],Prg!$A$7:$F$31,6,FALSE)=Prg!$O$2,VLOOKUP(Table1[[#This Row],[sheet]],Prg!$A$7:$F$31,6,FALSE)=Prg!$O$3),"Yes","No")</f>
        <v>No</v>
      </c>
      <c r="AB2525" t="s">
        <v>78</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25">
      <c r="X2526">
        <v>14</v>
      </c>
      <c r="Y2526" t="s">
        <v>785</v>
      </c>
      <c r="Z2526" t="s">
        <v>786</v>
      </c>
      <c r="AA2526" t="str">
        <f>IF(OR(VLOOKUP(Table1[[#This Row],[sheet]],Prg!$A$7:$F$31,6,FALSE)=Prg!$O$2,VLOOKUP(Table1[[#This Row],[sheet]],Prg!$A$7:$F$31,6,FALSE)=Prg!$O$3),"Yes","No")</f>
        <v>No</v>
      </c>
      <c r="AB2526" t="s">
        <v>78</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25">
      <c r="X2527">
        <v>14</v>
      </c>
      <c r="Y2527" t="s">
        <v>787</v>
      </c>
      <c r="Z2527" t="s">
        <v>633</v>
      </c>
      <c r="AA2527" t="str">
        <f>IF(OR(VLOOKUP(Table1[[#This Row],[sheet]],Prg!$A$7:$F$31,6,FALSE)=Prg!$O$2,VLOOKUP(Table1[[#This Row],[sheet]],Prg!$A$7:$F$31,6,FALSE)=Prg!$O$3),"Yes","No")</f>
        <v>No</v>
      </c>
      <c r="AB2527" t="s">
        <v>78</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25">
      <c r="X2528">
        <v>15</v>
      </c>
      <c r="Y2528" s="53" t="s">
        <v>753</v>
      </c>
      <c r="Z2528" s="53" t="s">
        <v>162</v>
      </c>
      <c r="AA2528" s="53" t="str">
        <f>IF(OR(VLOOKUP(Table1[[#This Row],[sheet]],Prg!$A$7:$F$31,6,FALSE)=Prg!$O$2,VLOOKUP(Table1[[#This Row],[sheet]],Prg!$A$7:$F$31,6,FALSE)=Prg!$O$3),"Yes","No")</f>
        <v>No</v>
      </c>
      <c r="AB2528" s="53">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25">
      <c r="X2529">
        <v>15</v>
      </c>
      <c r="Y2529" t="s">
        <v>754</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25">
      <c r="X2530">
        <v>15</v>
      </c>
      <c r="Y2530" t="s">
        <v>755</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25">
      <c r="X2531">
        <v>15</v>
      </c>
      <c r="Y2531" t="s">
        <v>756</v>
      </c>
      <c r="Z2531" t="s">
        <v>757</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25">
      <c r="X2532">
        <v>15</v>
      </c>
      <c r="Y2532" t="s">
        <v>758</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25">
      <c r="X2533">
        <v>15</v>
      </c>
      <c r="Y2533" t="s">
        <v>759</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25">
      <c r="X2534">
        <v>15</v>
      </c>
      <c r="Y2534" t="s">
        <v>760</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25">
      <c r="X2535">
        <v>15</v>
      </c>
      <c r="Y2535" t="s">
        <v>761</v>
      </c>
      <c r="Z2535" t="s">
        <v>762</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25">
      <c r="X2536">
        <v>15</v>
      </c>
      <c r="Y2536" t="s">
        <v>763</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25">
      <c r="X2537">
        <v>15</v>
      </c>
      <c r="Y2537" t="s">
        <v>764</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25">
      <c r="X2538">
        <v>15</v>
      </c>
      <c r="Y2538" t="s">
        <v>765</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25">
      <c r="X2539">
        <v>15</v>
      </c>
      <c r="Y2539" t="s">
        <v>766</v>
      </c>
      <c r="Z2539" t="s">
        <v>767</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25">
      <c r="X2540">
        <v>15</v>
      </c>
      <c r="Y2540" t="s">
        <v>768</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25">
      <c r="X2541">
        <v>15</v>
      </c>
      <c r="Y2541" t="s">
        <v>769</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25">
      <c r="X2542">
        <v>15</v>
      </c>
      <c r="Y2542" t="s">
        <v>770</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25">
      <c r="X2543">
        <v>15</v>
      </c>
      <c r="Y2543" t="s">
        <v>771</v>
      </c>
      <c r="Z2543" t="s">
        <v>772</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25">
      <c r="X2544">
        <v>15</v>
      </c>
      <c r="Y2544" t="s">
        <v>773</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25">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25">
      <c r="X2546">
        <v>15</v>
      </c>
      <c r="Y2546" t="s">
        <v>774</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25">
      <c r="X2547">
        <v>15</v>
      </c>
      <c r="Y2547" t="s">
        <v>775</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25">
      <c r="X2548">
        <v>15</v>
      </c>
      <c r="Y2548" t="s">
        <v>776</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25">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25">
      <c r="X2550">
        <v>15</v>
      </c>
      <c r="Y2550" t="s">
        <v>777</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25">
      <c r="X2551">
        <v>15</v>
      </c>
      <c r="Y2551" t="s">
        <v>778</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25">
      <c r="X2552">
        <v>15</v>
      </c>
      <c r="Y2552" t="s">
        <v>779</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25">
      <c r="X2553">
        <v>15</v>
      </c>
      <c r="Y2553" t="s">
        <v>712</v>
      </c>
      <c r="Z2553" t="s">
        <v>780</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25">
      <c r="X2554">
        <v>15</v>
      </c>
      <c r="Y2554" t="s">
        <v>781</v>
      </c>
      <c r="Z2554" t="s">
        <v>782</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25">
      <c r="X2555">
        <v>15</v>
      </c>
      <c r="Y2555" t="s">
        <v>783</v>
      </c>
      <c r="Z2555" t="s">
        <v>784</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25">
      <c r="X2556">
        <v>15</v>
      </c>
      <c r="Y2556" t="s">
        <v>785</v>
      </c>
      <c r="Z2556" t="s">
        <v>786</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25">
      <c r="X2557">
        <v>15</v>
      </c>
      <c r="Y2557" t="s">
        <v>787</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25">
      <c r="X2558">
        <v>15</v>
      </c>
      <c r="Y2558" s="53" t="s">
        <v>753</v>
      </c>
      <c r="Z2558" s="53" t="s">
        <v>162</v>
      </c>
      <c r="AA2558" s="53" t="str">
        <f>IF(OR(VLOOKUP(Table1[[#This Row],[sheet]],Prg!$A$7:$F$31,6,FALSE)=Prg!$O$2,VLOOKUP(Table1[[#This Row],[sheet]],Prg!$A$7:$F$31,6,FALSE)=Prg!$O$3),"Yes","No")</f>
        <v>No</v>
      </c>
      <c r="AB2558" s="53">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25">
      <c r="X2559">
        <v>15</v>
      </c>
      <c r="Y2559" t="s">
        <v>754</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25">
      <c r="X2560">
        <v>15</v>
      </c>
      <c r="Y2560" t="s">
        <v>755</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25">
      <c r="X2561">
        <v>15</v>
      </c>
      <c r="Y2561" t="s">
        <v>756</v>
      </c>
      <c r="Z2561" t="s">
        <v>757</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25">
      <c r="X2562">
        <v>15</v>
      </c>
      <c r="Y2562" t="s">
        <v>758</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25">
      <c r="X2563">
        <v>15</v>
      </c>
      <c r="Y2563" t="s">
        <v>759</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25">
      <c r="X2564">
        <v>15</v>
      </c>
      <c r="Y2564" t="s">
        <v>760</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25">
      <c r="X2565">
        <v>15</v>
      </c>
      <c r="Y2565" t="s">
        <v>761</v>
      </c>
      <c r="Z2565" t="s">
        <v>762</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25">
      <c r="X2566">
        <v>15</v>
      </c>
      <c r="Y2566" t="s">
        <v>763</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25">
      <c r="X2567">
        <v>15</v>
      </c>
      <c r="Y2567" t="s">
        <v>764</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25">
      <c r="X2568">
        <v>15</v>
      </c>
      <c r="Y2568" t="s">
        <v>765</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25">
      <c r="X2569">
        <v>15</v>
      </c>
      <c r="Y2569" t="s">
        <v>766</v>
      </c>
      <c r="Z2569" t="s">
        <v>767</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25">
      <c r="X2570">
        <v>15</v>
      </c>
      <c r="Y2570" t="s">
        <v>768</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25">
      <c r="X2571">
        <v>15</v>
      </c>
      <c r="Y2571" t="s">
        <v>769</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25">
      <c r="X2572">
        <v>15</v>
      </c>
      <c r="Y2572" t="s">
        <v>770</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25">
      <c r="X2573">
        <v>15</v>
      </c>
      <c r="Y2573" t="s">
        <v>771</v>
      </c>
      <c r="Z2573" t="s">
        <v>772</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25">
      <c r="X2574">
        <v>15</v>
      </c>
      <c r="Y2574" t="s">
        <v>773</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25">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25">
      <c r="X2576">
        <v>15</v>
      </c>
      <c r="Y2576" t="s">
        <v>774</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25">
      <c r="X2577">
        <v>15</v>
      </c>
      <c r="Y2577" t="s">
        <v>775</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25">
      <c r="X2578">
        <v>15</v>
      </c>
      <c r="Y2578" t="s">
        <v>776</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25">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25">
      <c r="X2580">
        <v>15</v>
      </c>
      <c r="Y2580" t="s">
        <v>777</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25">
      <c r="X2581">
        <v>15</v>
      </c>
      <c r="Y2581" t="s">
        <v>778</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25">
      <c r="X2582">
        <v>15</v>
      </c>
      <c r="Y2582" t="s">
        <v>779</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25">
      <c r="X2583">
        <v>15</v>
      </c>
      <c r="Y2583" t="s">
        <v>712</v>
      </c>
      <c r="Z2583" t="s">
        <v>780</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25">
      <c r="X2584">
        <v>15</v>
      </c>
      <c r="Y2584" t="s">
        <v>781</v>
      </c>
      <c r="Z2584" t="s">
        <v>782</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25">
      <c r="X2585">
        <v>15</v>
      </c>
      <c r="Y2585" t="s">
        <v>783</v>
      </c>
      <c r="Z2585" t="s">
        <v>784</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25">
      <c r="X2586">
        <v>15</v>
      </c>
      <c r="Y2586" t="s">
        <v>785</v>
      </c>
      <c r="Z2586" t="s">
        <v>786</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25">
      <c r="X2587">
        <v>15</v>
      </c>
      <c r="Y2587" t="s">
        <v>787</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25">
      <c r="X2588">
        <v>15</v>
      </c>
      <c r="Y2588" s="53" t="s">
        <v>753</v>
      </c>
      <c r="Z2588" s="53" t="s">
        <v>162</v>
      </c>
      <c r="AA2588" s="53" t="str">
        <f>IF(OR(VLOOKUP(Table1[[#This Row],[sheet]],Prg!$A$7:$F$31,6,FALSE)=Prg!$O$2,VLOOKUP(Table1[[#This Row],[sheet]],Prg!$A$7:$F$31,6,FALSE)=Prg!$O$3),"Yes","No")</f>
        <v>No</v>
      </c>
      <c r="AB2588" s="53">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25">
      <c r="X2589">
        <v>15</v>
      </c>
      <c r="Y2589" t="s">
        <v>754</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25">
      <c r="X2590">
        <v>15</v>
      </c>
      <c r="Y2590" t="s">
        <v>755</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25">
      <c r="X2591">
        <v>15</v>
      </c>
      <c r="Y2591" t="s">
        <v>756</v>
      </c>
      <c r="Z2591" t="s">
        <v>757</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25">
      <c r="X2592">
        <v>15</v>
      </c>
      <c r="Y2592" t="s">
        <v>758</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25">
      <c r="X2593">
        <v>15</v>
      </c>
      <c r="Y2593" t="s">
        <v>759</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25">
      <c r="X2594">
        <v>15</v>
      </c>
      <c r="Y2594" t="s">
        <v>760</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25">
      <c r="X2595">
        <v>15</v>
      </c>
      <c r="Y2595" t="s">
        <v>761</v>
      </c>
      <c r="Z2595" t="s">
        <v>762</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25">
      <c r="X2596">
        <v>15</v>
      </c>
      <c r="Y2596" t="s">
        <v>763</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25">
      <c r="X2597">
        <v>15</v>
      </c>
      <c r="Y2597" t="s">
        <v>764</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25">
      <c r="X2598">
        <v>15</v>
      </c>
      <c r="Y2598" t="s">
        <v>765</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25">
      <c r="X2599">
        <v>15</v>
      </c>
      <c r="Y2599" t="s">
        <v>766</v>
      </c>
      <c r="Z2599" t="s">
        <v>767</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25">
      <c r="X2600">
        <v>15</v>
      </c>
      <c r="Y2600" t="s">
        <v>768</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25">
      <c r="X2601">
        <v>15</v>
      </c>
      <c r="Y2601" t="s">
        <v>769</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25">
      <c r="X2602">
        <v>15</v>
      </c>
      <c r="Y2602" t="s">
        <v>770</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25">
      <c r="X2603">
        <v>15</v>
      </c>
      <c r="Y2603" t="s">
        <v>771</v>
      </c>
      <c r="Z2603" t="s">
        <v>772</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25">
      <c r="X2604">
        <v>15</v>
      </c>
      <c r="Y2604" t="s">
        <v>773</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25">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25">
      <c r="X2606">
        <v>15</v>
      </c>
      <c r="Y2606" t="s">
        <v>774</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25">
      <c r="X2607">
        <v>15</v>
      </c>
      <c r="Y2607" t="s">
        <v>775</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25">
      <c r="X2608">
        <v>15</v>
      </c>
      <c r="Y2608" t="s">
        <v>776</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25">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25">
      <c r="X2610">
        <v>15</v>
      </c>
      <c r="Y2610" t="s">
        <v>777</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25">
      <c r="X2611">
        <v>15</v>
      </c>
      <c r="Y2611" t="s">
        <v>778</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25">
      <c r="X2612">
        <v>15</v>
      </c>
      <c r="Y2612" t="s">
        <v>779</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25">
      <c r="X2613">
        <v>15</v>
      </c>
      <c r="Y2613" t="s">
        <v>712</v>
      </c>
      <c r="Z2613" t="s">
        <v>780</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25">
      <c r="X2614">
        <v>15</v>
      </c>
      <c r="Y2614" t="s">
        <v>781</v>
      </c>
      <c r="Z2614" t="s">
        <v>782</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25">
      <c r="X2615">
        <v>15</v>
      </c>
      <c r="Y2615" t="s">
        <v>783</v>
      </c>
      <c r="Z2615" t="s">
        <v>784</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25">
      <c r="X2616">
        <v>15</v>
      </c>
      <c r="Y2616" t="s">
        <v>785</v>
      </c>
      <c r="Z2616" t="s">
        <v>786</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25">
      <c r="X2617">
        <v>15</v>
      </c>
      <c r="Y2617" t="s">
        <v>787</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25">
      <c r="X2618">
        <v>15</v>
      </c>
      <c r="Y2618" s="53" t="s">
        <v>753</v>
      </c>
      <c r="Z2618" s="53" t="s">
        <v>162</v>
      </c>
      <c r="AA2618" s="53" t="str">
        <f>IF(OR(VLOOKUP(Table1[[#This Row],[sheet]],Prg!$A$7:$F$31,6,FALSE)=Prg!$O$2,VLOOKUP(Table1[[#This Row],[sheet]],Prg!$A$7:$F$31,6,FALSE)=Prg!$O$3),"Yes","No")</f>
        <v>No</v>
      </c>
      <c r="AB2618" s="53">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25">
      <c r="X2619">
        <v>15</v>
      </c>
      <c r="Y2619" t="s">
        <v>754</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25">
      <c r="X2620">
        <v>15</v>
      </c>
      <c r="Y2620" t="s">
        <v>755</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25">
      <c r="X2621">
        <v>15</v>
      </c>
      <c r="Y2621" t="s">
        <v>756</v>
      </c>
      <c r="Z2621" t="s">
        <v>757</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25">
      <c r="X2622">
        <v>15</v>
      </c>
      <c r="Y2622" t="s">
        <v>758</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25">
      <c r="X2623">
        <v>15</v>
      </c>
      <c r="Y2623" t="s">
        <v>759</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25">
      <c r="X2624">
        <v>15</v>
      </c>
      <c r="Y2624" t="s">
        <v>760</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25">
      <c r="X2625">
        <v>15</v>
      </c>
      <c r="Y2625" t="s">
        <v>761</v>
      </c>
      <c r="Z2625" t="s">
        <v>762</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25">
      <c r="X2626">
        <v>15</v>
      </c>
      <c r="Y2626" t="s">
        <v>763</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25">
      <c r="X2627">
        <v>15</v>
      </c>
      <c r="Y2627" t="s">
        <v>764</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25">
      <c r="X2628">
        <v>15</v>
      </c>
      <c r="Y2628" t="s">
        <v>765</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25">
      <c r="X2629">
        <v>15</v>
      </c>
      <c r="Y2629" t="s">
        <v>766</v>
      </c>
      <c r="Z2629" t="s">
        <v>767</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25">
      <c r="X2630">
        <v>15</v>
      </c>
      <c r="Y2630" t="s">
        <v>768</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25">
      <c r="X2631">
        <v>15</v>
      </c>
      <c r="Y2631" t="s">
        <v>769</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25">
      <c r="X2632">
        <v>15</v>
      </c>
      <c r="Y2632" t="s">
        <v>770</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25">
      <c r="X2633">
        <v>15</v>
      </c>
      <c r="Y2633" t="s">
        <v>771</v>
      </c>
      <c r="Z2633" t="s">
        <v>772</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25">
      <c r="X2634">
        <v>15</v>
      </c>
      <c r="Y2634" t="s">
        <v>773</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25">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25">
      <c r="X2636">
        <v>15</v>
      </c>
      <c r="Y2636" t="s">
        <v>774</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25">
      <c r="X2637">
        <v>15</v>
      </c>
      <c r="Y2637" t="s">
        <v>775</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25">
      <c r="X2638">
        <v>15</v>
      </c>
      <c r="Y2638" t="s">
        <v>776</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25">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25">
      <c r="X2640">
        <v>15</v>
      </c>
      <c r="Y2640" t="s">
        <v>777</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25">
      <c r="X2641">
        <v>15</v>
      </c>
      <c r="Y2641" t="s">
        <v>778</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25">
      <c r="X2642">
        <v>15</v>
      </c>
      <c r="Y2642" t="s">
        <v>779</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25">
      <c r="X2643">
        <v>15</v>
      </c>
      <c r="Y2643" t="s">
        <v>712</v>
      </c>
      <c r="Z2643" t="s">
        <v>780</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25">
      <c r="X2644">
        <v>15</v>
      </c>
      <c r="Y2644" t="s">
        <v>781</v>
      </c>
      <c r="Z2644" t="s">
        <v>782</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25">
      <c r="X2645">
        <v>15</v>
      </c>
      <c r="Y2645" t="s">
        <v>783</v>
      </c>
      <c r="Z2645" t="s">
        <v>784</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25">
      <c r="X2646">
        <v>15</v>
      </c>
      <c r="Y2646" t="s">
        <v>785</v>
      </c>
      <c r="Z2646" t="s">
        <v>786</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25">
      <c r="X2647">
        <v>15</v>
      </c>
      <c r="Y2647" t="s">
        <v>787</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25">
      <c r="X2648">
        <v>15</v>
      </c>
      <c r="Y2648" s="53" t="s">
        <v>753</v>
      </c>
      <c r="Z2648" s="53" t="s">
        <v>162</v>
      </c>
      <c r="AA2648" s="53" t="str">
        <f>IF(OR(VLOOKUP(Table1[[#This Row],[sheet]],Prg!$A$7:$F$31,6,FALSE)=Prg!$O$2,VLOOKUP(Table1[[#This Row],[sheet]],Prg!$A$7:$F$31,6,FALSE)=Prg!$O$3),"Yes","No")</f>
        <v>No</v>
      </c>
      <c r="AB2648" s="53">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25">
      <c r="X2649">
        <v>15</v>
      </c>
      <c r="Y2649" t="s">
        <v>754</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25">
      <c r="X2650">
        <v>15</v>
      </c>
      <c r="Y2650" t="s">
        <v>755</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25">
      <c r="X2651">
        <v>15</v>
      </c>
      <c r="Y2651" t="s">
        <v>756</v>
      </c>
      <c r="Z2651" t="s">
        <v>757</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25">
      <c r="X2652">
        <v>15</v>
      </c>
      <c r="Y2652" t="s">
        <v>758</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25">
      <c r="X2653">
        <v>15</v>
      </c>
      <c r="Y2653" t="s">
        <v>759</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25">
      <c r="X2654">
        <v>15</v>
      </c>
      <c r="Y2654" t="s">
        <v>760</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25">
      <c r="X2655">
        <v>15</v>
      </c>
      <c r="Y2655" t="s">
        <v>761</v>
      </c>
      <c r="Z2655" t="s">
        <v>762</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25">
      <c r="X2656">
        <v>15</v>
      </c>
      <c r="Y2656" t="s">
        <v>763</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25">
      <c r="X2657">
        <v>15</v>
      </c>
      <c r="Y2657" t="s">
        <v>764</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25">
      <c r="X2658">
        <v>15</v>
      </c>
      <c r="Y2658" t="s">
        <v>765</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25">
      <c r="X2659">
        <v>15</v>
      </c>
      <c r="Y2659" t="s">
        <v>766</v>
      </c>
      <c r="Z2659" t="s">
        <v>767</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25">
      <c r="X2660">
        <v>15</v>
      </c>
      <c r="Y2660" t="s">
        <v>768</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25">
      <c r="X2661">
        <v>15</v>
      </c>
      <c r="Y2661" t="s">
        <v>769</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25">
      <c r="X2662">
        <v>15</v>
      </c>
      <c r="Y2662" t="s">
        <v>770</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25">
      <c r="X2663">
        <v>15</v>
      </c>
      <c r="Y2663" t="s">
        <v>771</v>
      </c>
      <c r="Z2663" t="s">
        <v>772</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25">
      <c r="X2664">
        <v>15</v>
      </c>
      <c r="Y2664" t="s">
        <v>773</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25">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25">
      <c r="X2666">
        <v>15</v>
      </c>
      <c r="Y2666" t="s">
        <v>774</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25">
      <c r="X2667">
        <v>15</v>
      </c>
      <c r="Y2667" t="s">
        <v>775</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25">
      <c r="X2668">
        <v>15</v>
      </c>
      <c r="Y2668" t="s">
        <v>776</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25">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25">
      <c r="X2670">
        <v>15</v>
      </c>
      <c r="Y2670" t="s">
        <v>777</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25">
      <c r="X2671">
        <v>15</v>
      </c>
      <c r="Y2671" t="s">
        <v>778</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25">
      <c r="X2672">
        <v>15</v>
      </c>
      <c r="Y2672" t="s">
        <v>779</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25">
      <c r="X2673">
        <v>15</v>
      </c>
      <c r="Y2673" t="s">
        <v>712</v>
      </c>
      <c r="Z2673" t="s">
        <v>780</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25">
      <c r="X2674">
        <v>15</v>
      </c>
      <c r="Y2674" t="s">
        <v>781</v>
      </c>
      <c r="Z2674" t="s">
        <v>782</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25">
      <c r="X2675">
        <v>15</v>
      </c>
      <c r="Y2675" t="s">
        <v>783</v>
      </c>
      <c r="Z2675" t="s">
        <v>784</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25">
      <c r="X2676">
        <v>15</v>
      </c>
      <c r="Y2676" t="s">
        <v>785</v>
      </c>
      <c r="Z2676" t="s">
        <v>786</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25">
      <c r="X2677">
        <v>15</v>
      </c>
      <c r="Y2677" t="s">
        <v>787</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25">
      <c r="X2678">
        <v>15</v>
      </c>
      <c r="Y2678" s="53" t="s">
        <v>753</v>
      </c>
      <c r="Z2678" s="53" t="s">
        <v>162</v>
      </c>
      <c r="AA2678" s="53" t="str">
        <f>IF(OR(VLOOKUP(Table1[[#This Row],[sheet]],Prg!$A$7:$F$31,6,FALSE)=Prg!$O$2,VLOOKUP(Table1[[#This Row],[sheet]],Prg!$A$7:$F$31,6,FALSE)=Prg!$O$3),"Yes","No")</f>
        <v>No</v>
      </c>
      <c r="AB2678" s="53"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25">
      <c r="X2679">
        <v>15</v>
      </c>
      <c r="Y2679" t="s">
        <v>754</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25">
      <c r="X2680">
        <v>15</v>
      </c>
      <c r="Y2680" t="s">
        <v>755</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25">
      <c r="X2681">
        <v>15</v>
      </c>
      <c r="Y2681" t="s">
        <v>756</v>
      </c>
      <c r="Z2681" t="s">
        <v>757</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25">
      <c r="X2682">
        <v>15</v>
      </c>
      <c r="Y2682" t="s">
        <v>758</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25">
      <c r="X2683">
        <v>15</v>
      </c>
      <c r="Y2683" t="s">
        <v>759</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25">
      <c r="X2684">
        <v>15</v>
      </c>
      <c r="Y2684" t="s">
        <v>760</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25">
      <c r="X2685">
        <v>15</v>
      </c>
      <c r="Y2685" t="s">
        <v>761</v>
      </c>
      <c r="Z2685" t="s">
        <v>762</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25">
      <c r="X2686">
        <v>15</v>
      </c>
      <c r="Y2686" t="s">
        <v>763</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25">
      <c r="X2687">
        <v>15</v>
      </c>
      <c r="Y2687" t="s">
        <v>764</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25">
      <c r="X2688">
        <v>15</v>
      </c>
      <c r="Y2688" t="s">
        <v>765</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25">
      <c r="X2689">
        <v>15</v>
      </c>
      <c r="Y2689" t="s">
        <v>766</v>
      </c>
      <c r="Z2689" t="s">
        <v>767</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25">
      <c r="X2690">
        <v>15</v>
      </c>
      <c r="Y2690" t="s">
        <v>768</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25">
      <c r="X2691">
        <v>15</v>
      </c>
      <c r="Y2691" t="s">
        <v>769</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25">
      <c r="X2692">
        <v>15</v>
      </c>
      <c r="Y2692" t="s">
        <v>770</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25">
      <c r="X2693">
        <v>15</v>
      </c>
      <c r="Y2693" t="s">
        <v>771</v>
      </c>
      <c r="Z2693" t="s">
        <v>772</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25">
      <c r="X2694">
        <v>15</v>
      </c>
      <c r="Y2694" t="s">
        <v>773</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25">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25">
      <c r="X2696">
        <v>15</v>
      </c>
      <c r="Y2696" t="s">
        <v>774</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25">
      <c r="X2697">
        <v>15</v>
      </c>
      <c r="Y2697" t="s">
        <v>775</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25">
      <c r="X2698">
        <v>15</v>
      </c>
      <c r="Y2698" t="s">
        <v>776</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25">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25">
      <c r="X2700">
        <v>15</v>
      </c>
      <c r="Y2700" t="s">
        <v>777</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25">
      <c r="X2701">
        <v>15</v>
      </c>
      <c r="Y2701" t="s">
        <v>778</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25">
      <c r="X2702">
        <v>15</v>
      </c>
      <c r="Y2702" t="s">
        <v>779</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25">
      <c r="X2703">
        <v>15</v>
      </c>
      <c r="Y2703" t="s">
        <v>712</v>
      </c>
      <c r="Z2703" t="s">
        <v>780</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25">
      <c r="X2704">
        <v>15</v>
      </c>
      <c r="Y2704" t="s">
        <v>781</v>
      </c>
      <c r="Z2704" t="s">
        <v>782</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25">
      <c r="X2705">
        <v>15</v>
      </c>
      <c r="Y2705" t="s">
        <v>783</v>
      </c>
      <c r="Z2705" t="s">
        <v>784</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25">
      <c r="X2706">
        <v>15</v>
      </c>
      <c r="Y2706" t="s">
        <v>785</v>
      </c>
      <c r="Z2706" t="s">
        <v>786</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25">
      <c r="X2707">
        <v>15</v>
      </c>
      <c r="Y2707" t="s">
        <v>787</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25">
      <c r="X2708">
        <v>16</v>
      </c>
      <c r="Y2708" s="53" t="s">
        <v>753</v>
      </c>
      <c r="Z2708" s="53" t="s">
        <v>162</v>
      </c>
      <c r="AA2708" s="53" t="str">
        <f>IF(OR(VLOOKUP(Table1[[#This Row],[sheet]],Prg!$A$7:$F$31,6,FALSE)=Prg!$O$2,VLOOKUP(Table1[[#This Row],[sheet]],Prg!$A$7:$F$31,6,FALSE)=Prg!$O$3),"Yes","No")</f>
        <v>No</v>
      </c>
      <c r="AB2708" s="53">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25">
      <c r="X2709">
        <v>16</v>
      </c>
      <c r="Y2709" t="s">
        <v>754</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25">
      <c r="X2710">
        <v>16</v>
      </c>
      <c r="Y2710" t="s">
        <v>755</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25">
      <c r="X2711">
        <v>16</v>
      </c>
      <c r="Y2711" t="s">
        <v>756</v>
      </c>
      <c r="Z2711" t="s">
        <v>757</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25">
      <c r="X2712">
        <v>16</v>
      </c>
      <c r="Y2712" t="s">
        <v>758</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25">
      <c r="X2713">
        <v>16</v>
      </c>
      <c r="Y2713" t="s">
        <v>759</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25">
      <c r="X2714">
        <v>16</v>
      </c>
      <c r="Y2714" t="s">
        <v>760</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25">
      <c r="X2715">
        <v>16</v>
      </c>
      <c r="Y2715" t="s">
        <v>761</v>
      </c>
      <c r="Z2715" t="s">
        <v>762</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25">
      <c r="X2716">
        <v>16</v>
      </c>
      <c r="Y2716" t="s">
        <v>763</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25">
      <c r="X2717">
        <v>16</v>
      </c>
      <c r="Y2717" t="s">
        <v>764</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25">
      <c r="X2718">
        <v>16</v>
      </c>
      <c r="Y2718" t="s">
        <v>765</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25">
      <c r="X2719">
        <v>16</v>
      </c>
      <c r="Y2719" t="s">
        <v>766</v>
      </c>
      <c r="Z2719" t="s">
        <v>767</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25">
      <c r="X2720">
        <v>16</v>
      </c>
      <c r="Y2720" t="s">
        <v>768</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25">
      <c r="X2721">
        <v>16</v>
      </c>
      <c r="Y2721" t="s">
        <v>769</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25">
      <c r="X2722">
        <v>16</v>
      </c>
      <c r="Y2722" t="s">
        <v>770</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25">
      <c r="X2723">
        <v>16</v>
      </c>
      <c r="Y2723" t="s">
        <v>771</v>
      </c>
      <c r="Z2723" t="s">
        <v>772</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25">
      <c r="X2724">
        <v>16</v>
      </c>
      <c r="Y2724" t="s">
        <v>773</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25">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25">
      <c r="X2726">
        <v>16</v>
      </c>
      <c r="Y2726" t="s">
        <v>774</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25">
      <c r="X2727">
        <v>16</v>
      </c>
      <c r="Y2727" t="s">
        <v>775</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25">
      <c r="X2728">
        <v>16</v>
      </c>
      <c r="Y2728" t="s">
        <v>776</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25">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25">
      <c r="X2730">
        <v>16</v>
      </c>
      <c r="Y2730" t="s">
        <v>777</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25">
      <c r="X2731">
        <v>16</v>
      </c>
      <c r="Y2731" t="s">
        <v>778</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25">
      <c r="X2732">
        <v>16</v>
      </c>
      <c r="Y2732" t="s">
        <v>779</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25">
      <c r="X2733">
        <v>16</v>
      </c>
      <c r="Y2733" t="s">
        <v>712</v>
      </c>
      <c r="Z2733" t="s">
        <v>780</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25">
      <c r="X2734">
        <v>16</v>
      </c>
      <c r="Y2734" t="s">
        <v>781</v>
      </c>
      <c r="Z2734" t="s">
        <v>782</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25">
      <c r="X2735">
        <v>16</v>
      </c>
      <c r="Y2735" t="s">
        <v>783</v>
      </c>
      <c r="Z2735" t="s">
        <v>784</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25">
      <c r="X2736">
        <v>16</v>
      </c>
      <c r="Y2736" t="s">
        <v>785</v>
      </c>
      <c r="Z2736" t="s">
        <v>786</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25">
      <c r="X2737">
        <v>16</v>
      </c>
      <c r="Y2737" t="s">
        <v>787</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25">
      <c r="X2738">
        <v>16</v>
      </c>
      <c r="Y2738" s="53" t="s">
        <v>753</v>
      </c>
      <c r="Z2738" s="53" t="s">
        <v>162</v>
      </c>
      <c r="AA2738" s="53" t="str">
        <f>IF(OR(VLOOKUP(Table1[[#This Row],[sheet]],Prg!$A$7:$F$31,6,FALSE)=Prg!$O$2,VLOOKUP(Table1[[#This Row],[sheet]],Prg!$A$7:$F$31,6,FALSE)=Prg!$O$3),"Yes","No")</f>
        <v>No</v>
      </c>
      <c r="AB2738" s="53">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25">
      <c r="X2739">
        <v>16</v>
      </c>
      <c r="Y2739" t="s">
        <v>754</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25">
      <c r="X2740">
        <v>16</v>
      </c>
      <c r="Y2740" t="s">
        <v>755</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25">
      <c r="X2741">
        <v>16</v>
      </c>
      <c r="Y2741" t="s">
        <v>756</v>
      </c>
      <c r="Z2741" t="s">
        <v>757</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25">
      <c r="X2742">
        <v>16</v>
      </c>
      <c r="Y2742" t="s">
        <v>758</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25">
      <c r="X2743">
        <v>16</v>
      </c>
      <c r="Y2743" t="s">
        <v>759</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25">
      <c r="X2744">
        <v>16</v>
      </c>
      <c r="Y2744" t="s">
        <v>760</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25">
      <c r="X2745">
        <v>16</v>
      </c>
      <c r="Y2745" t="s">
        <v>761</v>
      </c>
      <c r="Z2745" t="s">
        <v>762</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25">
      <c r="X2746">
        <v>16</v>
      </c>
      <c r="Y2746" t="s">
        <v>763</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25">
      <c r="X2747">
        <v>16</v>
      </c>
      <c r="Y2747" t="s">
        <v>764</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25">
      <c r="X2748">
        <v>16</v>
      </c>
      <c r="Y2748" t="s">
        <v>765</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25">
      <c r="X2749">
        <v>16</v>
      </c>
      <c r="Y2749" t="s">
        <v>766</v>
      </c>
      <c r="Z2749" t="s">
        <v>767</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25">
      <c r="X2750">
        <v>16</v>
      </c>
      <c r="Y2750" t="s">
        <v>768</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25">
      <c r="X2751">
        <v>16</v>
      </c>
      <c r="Y2751" t="s">
        <v>769</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25">
      <c r="X2752">
        <v>16</v>
      </c>
      <c r="Y2752" t="s">
        <v>770</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25">
      <c r="X2753">
        <v>16</v>
      </c>
      <c r="Y2753" t="s">
        <v>771</v>
      </c>
      <c r="Z2753" t="s">
        <v>772</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25">
      <c r="X2754">
        <v>16</v>
      </c>
      <c r="Y2754" t="s">
        <v>773</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25">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25">
      <c r="X2756">
        <v>16</v>
      </c>
      <c r="Y2756" t="s">
        <v>774</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25">
      <c r="X2757">
        <v>16</v>
      </c>
      <c r="Y2757" t="s">
        <v>775</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25">
      <c r="X2758">
        <v>16</v>
      </c>
      <c r="Y2758" t="s">
        <v>776</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25">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25">
      <c r="X2760">
        <v>16</v>
      </c>
      <c r="Y2760" t="s">
        <v>777</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25">
      <c r="X2761">
        <v>16</v>
      </c>
      <c r="Y2761" t="s">
        <v>778</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25">
      <c r="X2762">
        <v>16</v>
      </c>
      <c r="Y2762" t="s">
        <v>779</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25">
      <c r="X2763">
        <v>16</v>
      </c>
      <c r="Y2763" t="s">
        <v>712</v>
      </c>
      <c r="Z2763" t="s">
        <v>780</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25">
      <c r="X2764">
        <v>16</v>
      </c>
      <c r="Y2764" t="s">
        <v>781</v>
      </c>
      <c r="Z2764" t="s">
        <v>782</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25">
      <c r="X2765">
        <v>16</v>
      </c>
      <c r="Y2765" t="s">
        <v>783</v>
      </c>
      <c r="Z2765" t="s">
        <v>784</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25">
      <c r="X2766">
        <v>16</v>
      </c>
      <c r="Y2766" t="s">
        <v>785</v>
      </c>
      <c r="Z2766" t="s">
        <v>786</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25">
      <c r="X2767">
        <v>16</v>
      </c>
      <c r="Y2767" t="s">
        <v>787</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25">
      <c r="X2768">
        <v>16</v>
      </c>
      <c r="Y2768" s="53" t="s">
        <v>753</v>
      </c>
      <c r="Z2768" s="53" t="s">
        <v>162</v>
      </c>
      <c r="AA2768" s="53" t="str">
        <f>IF(OR(VLOOKUP(Table1[[#This Row],[sheet]],Prg!$A$7:$F$31,6,FALSE)=Prg!$O$2,VLOOKUP(Table1[[#This Row],[sheet]],Prg!$A$7:$F$31,6,FALSE)=Prg!$O$3),"Yes","No")</f>
        <v>No</v>
      </c>
      <c r="AB2768" s="53">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25">
      <c r="X2769">
        <v>16</v>
      </c>
      <c r="Y2769" t="s">
        <v>754</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25">
      <c r="X2770">
        <v>16</v>
      </c>
      <c r="Y2770" t="s">
        <v>755</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25">
      <c r="X2771">
        <v>16</v>
      </c>
      <c r="Y2771" t="s">
        <v>756</v>
      </c>
      <c r="Z2771" t="s">
        <v>757</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25">
      <c r="X2772">
        <v>16</v>
      </c>
      <c r="Y2772" t="s">
        <v>758</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25">
      <c r="X2773">
        <v>16</v>
      </c>
      <c r="Y2773" t="s">
        <v>759</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25">
      <c r="X2774">
        <v>16</v>
      </c>
      <c r="Y2774" t="s">
        <v>760</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25">
      <c r="X2775">
        <v>16</v>
      </c>
      <c r="Y2775" t="s">
        <v>761</v>
      </c>
      <c r="Z2775" t="s">
        <v>762</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25">
      <c r="X2776">
        <v>16</v>
      </c>
      <c r="Y2776" t="s">
        <v>763</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25">
      <c r="X2777">
        <v>16</v>
      </c>
      <c r="Y2777" t="s">
        <v>764</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25">
      <c r="X2778">
        <v>16</v>
      </c>
      <c r="Y2778" t="s">
        <v>765</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25">
      <c r="X2779">
        <v>16</v>
      </c>
      <c r="Y2779" t="s">
        <v>766</v>
      </c>
      <c r="Z2779" t="s">
        <v>767</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25">
      <c r="X2780">
        <v>16</v>
      </c>
      <c r="Y2780" t="s">
        <v>768</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25">
      <c r="X2781">
        <v>16</v>
      </c>
      <c r="Y2781" t="s">
        <v>769</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25">
      <c r="X2782">
        <v>16</v>
      </c>
      <c r="Y2782" t="s">
        <v>770</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25">
      <c r="X2783">
        <v>16</v>
      </c>
      <c r="Y2783" t="s">
        <v>771</v>
      </c>
      <c r="Z2783" t="s">
        <v>772</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25">
      <c r="X2784">
        <v>16</v>
      </c>
      <c r="Y2784" t="s">
        <v>773</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25">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25">
      <c r="X2786">
        <v>16</v>
      </c>
      <c r="Y2786" t="s">
        <v>774</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25">
      <c r="X2787">
        <v>16</v>
      </c>
      <c r="Y2787" t="s">
        <v>775</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25">
      <c r="X2788">
        <v>16</v>
      </c>
      <c r="Y2788" t="s">
        <v>776</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25">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25">
      <c r="X2790">
        <v>16</v>
      </c>
      <c r="Y2790" t="s">
        <v>777</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25">
      <c r="X2791">
        <v>16</v>
      </c>
      <c r="Y2791" t="s">
        <v>778</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25">
      <c r="X2792">
        <v>16</v>
      </c>
      <c r="Y2792" t="s">
        <v>779</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25">
      <c r="X2793">
        <v>16</v>
      </c>
      <c r="Y2793" t="s">
        <v>712</v>
      </c>
      <c r="Z2793" t="s">
        <v>780</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25">
      <c r="X2794">
        <v>16</v>
      </c>
      <c r="Y2794" t="s">
        <v>781</v>
      </c>
      <c r="Z2794" t="s">
        <v>782</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25">
      <c r="X2795">
        <v>16</v>
      </c>
      <c r="Y2795" t="s">
        <v>783</v>
      </c>
      <c r="Z2795" t="s">
        <v>784</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25">
      <c r="X2796">
        <v>16</v>
      </c>
      <c r="Y2796" t="s">
        <v>785</v>
      </c>
      <c r="Z2796" t="s">
        <v>786</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25">
      <c r="X2797">
        <v>16</v>
      </c>
      <c r="Y2797" t="s">
        <v>787</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25">
      <c r="X2798">
        <v>16</v>
      </c>
      <c r="Y2798" s="53" t="s">
        <v>753</v>
      </c>
      <c r="Z2798" s="53" t="s">
        <v>162</v>
      </c>
      <c r="AA2798" s="53" t="str">
        <f>IF(OR(VLOOKUP(Table1[[#This Row],[sheet]],Prg!$A$7:$F$31,6,FALSE)=Prg!$O$2,VLOOKUP(Table1[[#This Row],[sheet]],Prg!$A$7:$F$31,6,FALSE)=Prg!$O$3),"Yes","No")</f>
        <v>No</v>
      </c>
      <c r="AB2798" s="53">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25">
      <c r="X2799">
        <v>16</v>
      </c>
      <c r="Y2799" t="s">
        <v>754</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25">
      <c r="X2800">
        <v>16</v>
      </c>
      <c r="Y2800" t="s">
        <v>755</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25">
      <c r="X2801">
        <v>16</v>
      </c>
      <c r="Y2801" t="s">
        <v>756</v>
      </c>
      <c r="Z2801" t="s">
        <v>757</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25">
      <c r="X2802">
        <v>16</v>
      </c>
      <c r="Y2802" t="s">
        <v>758</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25">
      <c r="X2803">
        <v>16</v>
      </c>
      <c r="Y2803" t="s">
        <v>759</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25">
      <c r="X2804">
        <v>16</v>
      </c>
      <c r="Y2804" t="s">
        <v>760</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25">
      <c r="X2805">
        <v>16</v>
      </c>
      <c r="Y2805" t="s">
        <v>761</v>
      </c>
      <c r="Z2805" t="s">
        <v>762</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25">
      <c r="X2806">
        <v>16</v>
      </c>
      <c r="Y2806" t="s">
        <v>763</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25">
      <c r="X2807">
        <v>16</v>
      </c>
      <c r="Y2807" t="s">
        <v>764</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25">
      <c r="X2808">
        <v>16</v>
      </c>
      <c r="Y2808" t="s">
        <v>765</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25">
      <c r="X2809">
        <v>16</v>
      </c>
      <c r="Y2809" t="s">
        <v>766</v>
      </c>
      <c r="Z2809" t="s">
        <v>767</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25">
      <c r="X2810">
        <v>16</v>
      </c>
      <c r="Y2810" t="s">
        <v>768</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25">
      <c r="X2811">
        <v>16</v>
      </c>
      <c r="Y2811" t="s">
        <v>769</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25">
      <c r="X2812">
        <v>16</v>
      </c>
      <c r="Y2812" t="s">
        <v>770</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25">
      <c r="X2813">
        <v>16</v>
      </c>
      <c r="Y2813" t="s">
        <v>771</v>
      </c>
      <c r="Z2813" t="s">
        <v>772</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25">
      <c r="X2814">
        <v>16</v>
      </c>
      <c r="Y2814" t="s">
        <v>773</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25">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25">
      <c r="X2816">
        <v>16</v>
      </c>
      <c r="Y2816" t="s">
        <v>774</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25">
      <c r="X2817">
        <v>16</v>
      </c>
      <c r="Y2817" t="s">
        <v>775</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25">
      <c r="X2818">
        <v>16</v>
      </c>
      <c r="Y2818" t="s">
        <v>776</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25">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25">
      <c r="X2820">
        <v>16</v>
      </c>
      <c r="Y2820" t="s">
        <v>777</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25">
      <c r="X2821">
        <v>16</v>
      </c>
      <c r="Y2821" t="s">
        <v>778</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25">
      <c r="X2822">
        <v>16</v>
      </c>
      <c r="Y2822" t="s">
        <v>779</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25">
      <c r="X2823">
        <v>16</v>
      </c>
      <c r="Y2823" t="s">
        <v>712</v>
      </c>
      <c r="Z2823" t="s">
        <v>780</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25">
      <c r="X2824">
        <v>16</v>
      </c>
      <c r="Y2824" t="s">
        <v>781</v>
      </c>
      <c r="Z2824" t="s">
        <v>782</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25">
      <c r="X2825">
        <v>16</v>
      </c>
      <c r="Y2825" t="s">
        <v>783</v>
      </c>
      <c r="Z2825" t="s">
        <v>784</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25">
      <c r="X2826">
        <v>16</v>
      </c>
      <c r="Y2826" t="s">
        <v>785</v>
      </c>
      <c r="Z2826" t="s">
        <v>786</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25">
      <c r="X2827">
        <v>16</v>
      </c>
      <c r="Y2827" t="s">
        <v>787</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25">
      <c r="X2828">
        <v>16</v>
      </c>
      <c r="Y2828" s="53" t="s">
        <v>753</v>
      </c>
      <c r="Z2828" s="53" t="s">
        <v>162</v>
      </c>
      <c r="AA2828" s="53" t="str">
        <f>IF(OR(VLOOKUP(Table1[[#This Row],[sheet]],Prg!$A$7:$F$31,6,FALSE)=Prg!$O$2,VLOOKUP(Table1[[#This Row],[sheet]],Prg!$A$7:$F$31,6,FALSE)=Prg!$O$3),"Yes","No")</f>
        <v>No</v>
      </c>
      <c r="AB2828" s="53">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25">
      <c r="X2829">
        <v>16</v>
      </c>
      <c r="Y2829" t="s">
        <v>754</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25">
      <c r="X2830">
        <v>16</v>
      </c>
      <c r="Y2830" t="s">
        <v>755</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25">
      <c r="X2831">
        <v>16</v>
      </c>
      <c r="Y2831" t="s">
        <v>756</v>
      </c>
      <c r="Z2831" t="s">
        <v>757</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25">
      <c r="X2832">
        <v>16</v>
      </c>
      <c r="Y2832" t="s">
        <v>758</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25">
      <c r="X2833">
        <v>16</v>
      </c>
      <c r="Y2833" t="s">
        <v>759</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25">
      <c r="X2834">
        <v>16</v>
      </c>
      <c r="Y2834" t="s">
        <v>760</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25">
      <c r="X2835">
        <v>16</v>
      </c>
      <c r="Y2835" t="s">
        <v>761</v>
      </c>
      <c r="Z2835" t="s">
        <v>762</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25">
      <c r="X2836">
        <v>16</v>
      </c>
      <c r="Y2836" t="s">
        <v>763</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25">
      <c r="X2837">
        <v>16</v>
      </c>
      <c r="Y2837" t="s">
        <v>764</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25">
      <c r="X2838">
        <v>16</v>
      </c>
      <c r="Y2838" t="s">
        <v>765</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25">
      <c r="X2839">
        <v>16</v>
      </c>
      <c r="Y2839" t="s">
        <v>766</v>
      </c>
      <c r="Z2839" t="s">
        <v>767</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25">
      <c r="X2840">
        <v>16</v>
      </c>
      <c r="Y2840" t="s">
        <v>768</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25">
      <c r="X2841">
        <v>16</v>
      </c>
      <c r="Y2841" t="s">
        <v>769</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25">
      <c r="X2842">
        <v>16</v>
      </c>
      <c r="Y2842" t="s">
        <v>770</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25">
      <c r="X2843">
        <v>16</v>
      </c>
      <c r="Y2843" t="s">
        <v>771</v>
      </c>
      <c r="Z2843" t="s">
        <v>772</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25">
      <c r="X2844">
        <v>16</v>
      </c>
      <c r="Y2844" t="s">
        <v>773</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25">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25">
      <c r="X2846">
        <v>16</v>
      </c>
      <c r="Y2846" t="s">
        <v>774</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25">
      <c r="X2847">
        <v>16</v>
      </c>
      <c r="Y2847" t="s">
        <v>775</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25">
      <c r="X2848">
        <v>16</v>
      </c>
      <c r="Y2848" t="s">
        <v>776</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25">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25">
      <c r="X2850">
        <v>16</v>
      </c>
      <c r="Y2850" t="s">
        <v>777</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25">
      <c r="X2851">
        <v>16</v>
      </c>
      <c r="Y2851" t="s">
        <v>778</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25">
      <c r="X2852">
        <v>16</v>
      </c>
      <c r="Y2852" t="s">
        <v>779</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25">
      <c r="X2853">
        <v>16</v>
      </c>
      <c r="Y2853" t="s">
        <v>712</v>
      </c>
      <c r="Z2853" t="s">
        <v>780</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25">
      <c r="X2854">
        <v>16</v>
      </c>
      <c r="Y2854" t="s">
        <v>781</v>
      </c>
      <c r="Z2854" t="s">
        <v>782</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25">
      <c r="X2855">
        <v>16</v>
      </c>
      <c r="Y2855" t="s">
        <v>783</v>
      </c>
      <c r="Z2855" t="s">
        <v>784</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25">
      <c r="X2856">
        <v>16</v>
      </c>
      <c r="Y2856" t="s">
        <v>785</v>
      </c>
      <c r="Z2856" t="s">
        <v>786</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25">
      <c r="X2857">
        <v>16</v>
      </c>
      <c r="Y2857" t="s">
        <v>787</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25">
      <c r="X2858">
        <v>16</v>
      </c>
      <c r="Y2858" s="53" t="s">
        <v>753</v>
      </c>
      <c r="Z2858" s="53" t="s">
        <v>162</v>
      </c>
      <c r="AA2858" s="53" t="str">
        <f>IF(OR(VLOOKUP(Table1[[#This Row],[sheet]],Prg!$A$7:$F$31,6,FALSE)=Prg!$O$2,VLOOKUP(Table1[[#This Row],[sheet]],Prg!$A$7:$F$31,6,FALSE)=Prg!$O$3),"Yes","No")</f>
        <v>No</v>
      </c>
      <c r="AB2858" s="53"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25">
      <c r="X2859">
        <v>16</v>
      </c>
      <c r="Y2859" t="s">
        <v>754</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25">
      <c r="X2860">
        <v>16</v>
      </c>
      <c r="Y2860" t="s">
        <v>755</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25">
      <c r="X2861">
        <v>16</v>
      </c>
      <c r="Y2861" t="s">
        <v>756</v>
      </c>
      <c r="Z2861" t="s">
        <v>757</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25">
      <c r="X2862">
        <v>16</v>
      </c>
      <c r="Y2862" t="s">
        <v>758</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25">
      <c r="X2863">
        <v>16</v>
      </c>
      <c r="Y2863" t="s">
        <v>759</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25">
      <c r="X2864">
        <v>16</v>
      </c>
      <c r="Y2864" t="s">
        <v>760</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25">
      <c r="X2865">
        <v>16</v>
      </c>
      <c r="Y2865" t="s">
        <v>761</v>
      </c>
      <c r="Z2865" t="s">
        <v>762</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25">
      <c r="X2866">
        <v>16</v>
      </c>
      <c r="Y2866" t="s">
        <v>763</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25">
      <c r="X2867">
        <v>16</v>
      </c>
      <c r="Y2867" t="s">
        <v>764</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25">
      <c r="X2868">
        <v>16</v>
      </c>
      <c r="Y2868" t="s">
        <v>765</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25">
      <c r="X2869">
        <v>16</v>
      </c>
      <c r="Y2869" t="s">
        <v>766</v>
      </c>
      <c r="Z2869" t="s">
        <v>767</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25">
      <c r="X2870">
        <v>16</v>
      </c>
      <c r="Y2870" t="s">
        <v>768</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25">
      <c r="X2871">
        <v>16</v>
      </c>
      <c r="Y2871" t="s">
        <v>769</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25">
      <c r="X2872">
        <v>16</v>
      </c>
      <c r="Y2872" t="s">
        <v>770</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25">
      <c r="X2873">
        <v>16</v>
      </c>
      <c r="Y2873" t="s">
        <v>771</v>
      </c>
      <c r="Z2873" t="s">
        <v>772</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25">
      <c r="X2874">
        <v>16</v>
      </c>
      <c r="Y2874" t="s">
        <v>773</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25">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25">
      <c r="X2876">
        <v>16</v>
      </c>
      <c r="Y2876" t="s">
        <v>774</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25">
      <c r="X2877">
        <v>16</v>
      </c>
      <c r="Y2877" t="s">
        <v>775</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25">
      <c r="X2878">
        <v>16</v>
      </c>
      <c r="Y2878" t="s">
        <v>776</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25">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25">
      <c r="X2880">
        <v>16</v>
      </c>
      <c r="Y2880" t="s">
        <v>777</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25">
      <c r="X2881">
        <v>16</v>
      </c>
      <c r="Y2881" t="s">
        <v>778</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25">
      <c r="X2882">
        <v>16</v>
      </c>
      <c r="Y2882" t="s">
        <v>779</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25">
      <c r="X2883">
        <v>16</v>
      </c>
      <c r="Y2883" t="s">
        <v>712</v>
      </c>
      <c r="Z2883" t="s">
        <v>780</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25">
      <c r="X2884">
        <v>16</v>
      </c>
      <c r="Y2884" t="s">
        <v>781</v>
      </c>
      <c r="Z2884" t="s">
        <v>782</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25">
      <c r="X2885">
        <v>16</v>
      </c>
      <c r="Y2885" t="s">
        <v>783</v>
      </c>
      <c r="Z2885" t="s">
        <v>784</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25">
      <c r="X2886">
        <v>16</v>
      </c>
      <c r="Y2886" t="s">
        <v>785</v>
      </c>
      <c r="Z2886" t="s">
        <v>786</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25">
      <c r="X2887">
        <v>16</v>
      </c>
      <c r="Y2887" t="s">
        <v>787</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25">
      <c r="X2888">
        <v>17</v>
      </c>
      <c r="Y2888" s="53" t="s">
        <v>753</v>
      </c>
      <c r="Z2888" s="53" t="s">
        <v>162</v>
      </c>
      <c r="AA2888" s="53" t="str">
        <f>IF(OR(VLOOKUP(Table1[[#This Row],[sheet]],Prg!$A$7:$F$31,6,FALSE)=Prg!$O$2,VLOOKUP(Table1[[#This Row],[sheet]],Prg!$A$7:$F$31,6,FALSE)=Prg!$O$3),"Yes","No")</f>
        <v>No</v>
      </c>
      <c r="AB2888" s="53">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25">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25">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25">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25">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25">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25">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25">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25">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25">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25">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25">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25">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25">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25">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25">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25">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25">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25">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25">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25">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25">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25">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25">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25">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25">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25">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25">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25">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25">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25">
      <c r="X2918">
        <v>17</v>
      </c>
      <c r="Y2918" s="53" t="s">
        <v>753</v>
      </c>
      <c r="Z2918" s="53" t="s">
        <v>162</v>
      </c>
      <c r="AA2918" s="53" t="str">
        <f>IF(OR(VLOOKUP(Table1[[#This Row],[sheet]],Prg!$A$7:$F$31,6,FALSE)=Prg!$O$2,VLOOKUP(Table1[[#This Row],[sheet]],Prg!$A$7:$F$31,6,FALSE)=Prg!$O$3),"Yes","No")</f>
        <v>No</v>
      </c>
      <c r="AB2918" s="53">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25">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25">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25">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25">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25">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25">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25">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25">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25">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25">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25">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25">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25">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25">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25">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25">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25">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25">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25">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25">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25">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25">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25">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25">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25">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25">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25">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25">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25">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25">
      <c r="X2948">
        <v>17</v>
      </c>
      <c r="Y2948" s="53" t="s">
        <v>753</v>
      </c>
      <c r="Z2948" s="53" t="s">
        <v>162</v>
      </c>
      <c r="AA2948" s="53" t="str">
        <f>IF(OR(VLOOKUP(Table1[[#This Row],[sheet]],Prg!$A$7:$F$31,6,FALSE)=Prg!$O$2,VLOOKUP(Table1[[#This Row],[sheet]],Prg!$A$7:$F$31,6,FALSE)=Prg!$O$3),"Yes","No")</f>
        <v>No</v>
      </c>
      <c r="AB2948" s="53">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25">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25">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25">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25">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25">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25">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25">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25">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25">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25">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25">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25">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25">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25">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25">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25">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25">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25">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25">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25">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25">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25">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25">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25">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25">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25">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25">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25">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25">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25">
      <c r="X2978">
        <v>17</v>
      </c>
      <c r="Y2978" s="53" t="s">
        <v>753</v>
      </c>
      <c r="Z2978" s="53" t="s">
        <v>162</v>
      </c>
      <c r="AA2978" s="53" t="str">
        <f>IF(OR(VLOOKUP(Table1[[#This Row],[sheet]],Prg!$A$7:$F$31,6,FALSE)=Prg!$O$2,VLOOKUP(Table1[[#This Row],[sheet]],Prg!$A$7:$F$31,6,FALSE)=Prg!$O$3),"Yes","No")</f>
        <v>No</v>
      </c>
      <c r="AB2978" s="53">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25">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25">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25">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25">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25">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25">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25">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25">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25">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25">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25">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25">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25">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25">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25">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25">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25">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25">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25">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25">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25">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25">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25">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25">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25">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25">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25">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25">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25">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25">
      <c r="X3008">
        <v>17</v>
      </c>
      <c r="Y3008" s="53" t="s">
        <v>753</v>
      </c>
      <c r="Z3008" s="53" t="s">
        <v>162</v>
      </c>
      <c r="AA3008" s="53" t="str">
        <f>IF(OR(VLOOKUP(Table1[[#This Row],[sheet]],Prg!$A$7:$F$31,6,FALSE)=Prg!$O$2,VLOOKUP(Table1[[#This Row],[sheet]],Prg!$A$7:$F$31,6,FALSE)=Prg!$O$3),"Yes","No")</f>
        <v>No</v>
      </c>
      <c r="AB3008" s="53">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25">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25">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25">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25">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25">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25">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25">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25">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25">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25">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25">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25">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25">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25">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25">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25">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25">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25">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25">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25">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25">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25">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25">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25">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25">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25">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25">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25">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25">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25">
      <c r="X3038">
        <v>17</v>
      </c>
      <c r="Y3038" s="53" t="s">
        <v>753</v>
      </c>
      <c r="Z3038" s="53" t="s">
        <v>162</v>
      </c>
      <c r="AA3038" s="53" t="str">
        <f>IF(OR(VLOOKUP(Table1[[#This Row],[sheet]],Prg!$A$7:$F$31,6,FALSE)=Prg!$O$2,VLOOKUP(Table1[[#This Row],[sheet]],Prg!$A$7:$F$31,6,FALSE)=Prg!$O$3),"Yes","No")</f>
        <v>No</v>
      </c>
      <c r="AB3038" s="53"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25">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25">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25">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25">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25">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25">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25">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25">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25">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25">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25">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25">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25">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25">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25">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25">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25">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25">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25">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25">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25">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25">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25">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25">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25">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25">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25">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25">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25">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25">
      <c r="X3068">
        <v>18</v>
      </c>
      <c r="Y3068" s="53" t="s">
        <v>753</v>
      </c>
      <c r="Z3068" s="53" t="s">
        <v>162</v>
      </c>
      <c r="AA3068" s="53" t="str">
        <f>IF(OR(VLOOKUP(Table1[[#This Row],[sheet]],Prg!$A$7:$F$31,6,FALSE)=Prg!$O$2,VLOOKUP(Table1[[#This Row],[sheet]],Prg!$A$7:$F$31,6,FALSE)=Prg!$O$3),"Yes","No")</f>
        <v>No</v>
      </c>
      <c r="AB3068" s="53">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25">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25">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25">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25">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25">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25">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25">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25">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25">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25">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25">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25">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25">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25">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25">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25">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25">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25">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25">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25">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25">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25">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25">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25">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25">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25">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25">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25">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25">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25">
      <c r="X3098">
        <v>18</v>
      </c>
      <c r="Y3098" s="53" t="s">
        <v>753</v>
      </c>
      <c r="Z3098" s="53" t="s">
        <v>162</v>
      </c>
      <c r="AA3098" s="53" t="str">
        <f>IF(OR(VLOOKUP(Table1[[#This Row],[sheet]],Prg!$A$7:$F$31,6,FALSE)=Prg!$O$2,VLOOKUP(Table1[[#This Row],[sheet]],Prg!$A$7:$F$31,6,FALSE)=Prg!$O$3),"Yes","No")</f>
        <v>No</v>
      </c>
      <c r="AB3098" s="53">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25">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25">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25">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25">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25">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25">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25">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25">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25">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25">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25">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25">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25">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25">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25">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25">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25">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25">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25">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25">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25">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25">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25">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25">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25">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25">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25">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25">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25">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25">
      <c r="X3128">
        <v>18</v>
      </c>
      <c r="Y3128" s="53" t="s">
        <v>753</v>
      </c>
      <c r="Z3128" s="53" t="s">
        <v>162</v>
      </c>
      <c r="AA3128" s="53" t="str">
        <f>IF(OR(VLOOKUP(Table1[[#This Row],[sheet]],Prg!$A$7:$F$31,6,FALSE)=Prg!$O$2,VLOOKUP(Table1[[#This Row],[sheet]],Prg!$A$7:$F$31,6,FALSE)=Prg!$O$3),"Yes","No")</f>
        <v>No</v>
      </c>
      <c r="AB3128" s="53">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25">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25">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25">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25">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25">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25">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25">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25">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25">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25">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25">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25">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25">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25">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25">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25">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25">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25">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25">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25">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25">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25">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25">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25">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25">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25">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25">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25">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25">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25">
      <c r="X3158">
        <v>18</v>
      </c>
      <c r="Y3158" s="53" t="s">
        <v>753</v>
      </c>
      <c r="Z3158" s="53" t="s">
        <v>162</v>
      </c>
      <c r="AA3158" s="53" t="str">
        <f>IF(OR(VLOOKUP(Table1[[#This Row],[sheet]],Prg!$A$7:$F$31,6,FALSE)=Prg!$O$2,VLOOKUP(Table1[[#This Row],[sheet]],Prg!$A$7:$F$31,6,FALSE)=Prg!$O$3),"Yes","No")</f>
        <v>No</v>
      </c>
      <c r="AB3158" s="53">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25">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25">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25">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25">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25">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25">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25">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25">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25">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25">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25">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25">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25">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25">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25">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25">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25">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25">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25">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25">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25">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25">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25">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25">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25">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25">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25">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25">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25">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25">
      <c r="X3188">
        <v>18</v>
      </c>
      <c r="Y3188" s="53" t="s">
        <v>753</v>
      </c>
      <c r="Z3188" s="53" t="s">
        <v>162</v>
      </c>
      <c r="AA3188" s="53" t="str">
        <f>IF(OR(VLOOKUP(Table1[[#This Row],[sheet]],Prg!$A$7:$F$31,6,FALSE)=Prg!$O$2,VLOOKUP(Table1[[#This Row],[sheet]],Prg!$A$7:$F$31,6,FALSE)=Prg!$O$3),"Yes","No")</f>
        <v>No</v>
      </c>
      <c r="AB3188" s="53">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25">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25">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25">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25">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25">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25">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25">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25">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25">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25">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25">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25">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25">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25">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25">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25">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25">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25">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25">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25">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25">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25">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25">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25">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25">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25">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25">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25">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25">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25">
      <c r="X3218">
        <v>18</v>
      </c>
      <c r="Y3218" s="53" t="s">
        <v>753</v>
      </c>
      <c r="Z3218" s="53" t="s">
        <v>162</v>
      </c>
      <c r="AA3218" s="53" t="str">
        <f>IF(OR(VLOOKUP(Table1[[#This Row],[sheet]],Prg!$A$7:$F$31,6,FALSE)=Prg!$O$2,VLOOKUP(Table1[[#This Row],[sheet]],Prg!$A$7:$F$31,6,FALSE)=Prg!$O$3),"Yes","No")</f>
        <v>No</v>
      </c>
      <c r="AB3218" s="53"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25">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25">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25">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25">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25">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25">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25">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25">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25">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25">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25">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25">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25">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25">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25">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25">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25">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25">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25">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25">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25">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25">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25">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25">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25">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25">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25">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25">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25">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25">
      <c r="X3248">
        <v>19</v>
      </c>
      <c r="Y3248" s="53" t="s">
        <v>753</v>
      </c>
      <c r="Z3248" s="53" t="s">
        <v>162</v>
      </c>
      <c r="AA3248" s="53" t="str">
        <f>IF(OR(VLOOKUP(Table1[[#This Row],[sheet]],Prg!$A$7:$F$31,6,FALSE)=Prg!$O$2,VLOOKUP(Table1[[#This Row],[sheet]],Prg!$A$7:$F$31,6,FALSE)=Prg!$O$3),"Yes","No")</f>
        <v>No</v>
      </c>
      <c r="AB3248" s="53">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25">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25">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25">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25">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25">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25">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25">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25">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25">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25">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25">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25">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25">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25">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25">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25">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25">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25">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25">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25">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25">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25">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25">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25">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25">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25">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25">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25">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25">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25">
      <c r="X3278">
        <v>19</v>
      </c>
      <c r="Y3278" s="53" t="s">
        <v>753</v>
      </c>
      <c r="Z3278" s="53" t="s">
        <v>162</v>
      </c>
      <c r="AA3278" s="53" t="str">
        <f>IF(OR(VLOOKUP(Table1[[#This Row],[sheet]],Prg!$A$7:$F$31,6,FALSE)=Prg!$O$2,VLOOKUP(Table1[[#This Row],[sheet]],Prg!$A$7:$F$31,6,FALSE)=Prg!$O$3),"Yes","No")</f>
        <v>No</v>
      </c>
      <c r="AB3278" s="53">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25">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25">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25">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25">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25">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25">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25">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25">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25">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25">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25">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25">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25">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25">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25">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25">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25">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25">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25">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25">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25">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25">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25">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25">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25">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25">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25">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25">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25">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25">
      <c r="X3308">
        <v>19</v>
      </c>
      <c r="Y3308" s="53" t="s">
        <v>753</v>
      </c>
      <c r="Z3308" s="53" t="s">
        <v>162</v>
      </c>
      <c r="AA3308" s="53" t="str">
        <f>IF(OR(VLOOKUP(Table1[[#This Row],[sheet]],Prg!$A$7:$F$31,6,FALSE)=Prg!$O$2,VLOOKUP(Table1[[#This Row],[sheet]],Prg!$A$7:$F$31,6,FALSE)=Prg!$O$3),"Yes","No")</f>
        <v>No</v>
      </c>
      <c r="AB3308" s="53">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25">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25">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25">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25">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25">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25">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25">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25">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25">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25">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25">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25">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25">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25">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25">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25">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25">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25">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25">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25">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25">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25">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25">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25">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25">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25">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25">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25">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25">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25">
      <c r="X3338">
        <v>19</v>
      </c>
      <c r="Y3338" s="53" t="s">
        <v>753</v>
      </c>
      <c r="Z3338" s="53" t="s">
        <v>162</v>
      </c>
      <c r="AA3338" s="53" t="str">
        <f>IF(OR(VLOOKUP(Table1[[#This Row],[sheet]],Prg!$A$7:$F$31,6,FALSE)=Prg!$O$2,VLOOKUP(Table1[[#This Row],[sheet]],Prg!$A$7:$F$31,6,FALSE)=Prg!$O$3),"Yes","No")</f>
        <v>No</v>
      </c>
      <c r="AB3338" s="53">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25">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25">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25">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25">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25">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25">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25">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25">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25">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25">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25">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25">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25">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25">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25">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25">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25">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25">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25">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25">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25">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25">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25">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25">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25">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25">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25">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25">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25">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25">
      <c r="X3368">
        <v>19</v>
      </c>
      <c r="Y3368" s="53" t="s">
        <v>753</v>
      </c>
      <c r="Z3368" s="53" t="s">
        <v>162</v>
      </c>
      <c r="AA3368" s="53" t="str">
        <f>IF(OR(VLOOKUP(Table1[[#This Row],[sheet]],Prg!$A$7:$F$31,6,FALSE)=Prg!$O$2,VLOOKUP(Table1[[#This Row],[sheet]],Prg!$A$7:$F$31,6,FALSE)=Prg!$O$3),"Yes","No")</f>
        <v>No</v>
      </c>
      <c r="AB3368" s="53">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25">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25">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25">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25">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25">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25">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25">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25">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25">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25">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25">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25">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25">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25">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25">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25">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25">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25">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25">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25">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25">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25">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25">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25">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25">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25">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25">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25">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25">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25">
      <c r="X3398">
        <v>19</v>
      </c>
      <c r="Y3398" s="53" t="s">
        <v>753</v>
      </c>
      <c r="Z3398" s="53" t="s">
        <v>162</v>
      </c>
      <c r="AA3398" s="53" t="str">
        <f>IF(OR(VLOOKUP(Table1[[#This Row],[sheet]],Prg!$A$7:$F$31,6,FALSE)=Prg!$O$2,VLOOKUP(Table1[[#This Row],[sheet]],Prg!$A$7:$F$31,6,FALSE)=Prg!$O$3),"Yes","No")</f>
        <v>No</v>
      </c>
      <c r="AB3398" s="53"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25">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25">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25">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25">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25">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25">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25">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25">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25">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25">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25">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25">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25">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25">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25">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25">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25">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25">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25">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25">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25">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25">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25">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25">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25">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25">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25">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25">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25">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25">
      <c r="X3428">
        <v>20</v>
      </c>
      <c r="Y3428" s="53" t="s">
        <v>753</v>
      </c>
      <c r="Z3428" s="53" t="s">
        <v>162</v>
      </c>
      <c r="AA3428" s="53" t="str">
        <f>IF(OR(VLOOKUP(Table1[[#This Row],[sheet]],Prg!$A$7:$F$31,6,FALSE)=Prg!$O$2,VLOOKUP(Table1[[#This Row],[sheet]],Prg!$A$7:$F$31,6,FALSE)=Prg!$O$3),"Yes","No")</f>
        <v>No</v>
      </c>
      <c r="AB3428" s="53">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25">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25">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25">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25">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25">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25">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25">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25">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25">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25">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25">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25">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25">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25">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25">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25">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25">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25">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25">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25">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25">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25">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25">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25">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25">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25">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25">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25">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25">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25">
      <c r="X3458">
        <v>20</v>
      </c>
      <c r="Y3458" s="53" t="s">
        <v>753</v>
      </c>
      <c r="Z3458" s="53" t="s">
        <v>162</v>
      </c>
      <c r="AA3458" s="53" t="str">
        <f>IF(OR(VLOOKUP(Table1[[#This Row],[sheet]],Prg!$A$7:$F$31,6,FALSE)=Prg!$O$2,VLOOKUP(Table1[[#This Row],[sheet]],Prg!$A$7:$F$31,6,FALSE)=Prg!$O$3),"Yes","No")</f>
        <v>No</v>
      </c>
      <c r="AB3458" s="53">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25">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25">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25">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25">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25">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25">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25">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25">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25">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25">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25">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25">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25">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25">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25">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25">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25">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25">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25">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25">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25">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25">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25">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25">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25">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25">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25">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25">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25">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25">
      <c r="X3488">
        <v>20</v>
      </c>
      <c r="Y3488" s="53" t="s">
        <v>753</v>
      </c>
      <c r="Z3488" s="53" t="s">
        <v>162</v>
      </c>
      <c r="AA3488" s="53" t="str">
        <f>IF(OR(VLOOKUP(Table1[[#This Row],[sheet]],Prg!$A$7:$F$31,6,FALSE)=Prg!$O$2,VLOOKUP(Table1[[#This Row],[sheet]],Prg!$A$7:$F$31,6,FALSE)=Prg!$O$3),"Yes","No")</f>
        <v>No</v>
      </c>
      <c r="AB3488" s="53">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25">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25">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25">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25">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25">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25">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25">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25">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25">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25">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25">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25">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25">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25">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25">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25">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25">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25">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25">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25">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25">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25">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25">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25">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25">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25">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25">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25">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25">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25">
      <c r="X3518">
        <v>20</v>
      </c>
      <c r="Y3518" s="53" t="s">
        <v>753</v>
      </c>
      <c r="Z3518" s="53" t="s">
        <v>162</v>
      </c>
      <c r="AA3518" s="53" t="str">
        <f>IF(OR(VLOOKUP(Table1[[#This Row],[sheet]],Prg!$A$7:$F$31,6,FALSE)=Prg!$O$2,VLOOKUP(Table1[[#This Row],[sheet]],Prg!$A$7:$F$31,6,FALSE)=Prg!$O$3),"Yes","No")</f>
        <v>No</v>
      </c>
      <c r="AB3518" s="53">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25">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25">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25">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25">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25">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25">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25">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25">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25">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25">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25">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25">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25">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25">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25">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25">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25">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25">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25">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25">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25">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25">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25">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25">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25">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25">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25">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25">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25">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25">
      <c r="X3548">
        <v>20</v>
      </c>
      <c r="Y3548" s="53" t="s">
        <v>753</v>
      </c>
      <c r="Z3548" s="53" t="s">
        <v>162</v>
      </c>
      <c r="AA3548" s="53" t="str">
        <f>IF(OR(VLOOKUP(Table1[[#This Row],[sheet]],Prg!$A$7:$F$31,6,FALSE)=Prg!$O$2,VLOOKUP(Table1[[#This Row],[sheet]],Prg!$A$7:$F$31,6,FALSE)=Prg!$O$3),"Yes","No")</f>
        <v>No</v>
      </c>
      <c r="AB3548" s="53">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25">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25">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25">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25">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25">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25">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25">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25">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25">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25">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25">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25">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25">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25">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25">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25">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25">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25">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25">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25">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25">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25">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25">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25">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25">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25">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25">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25">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25">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25">
      <c r="X3578">
        <v>20</v>
      </c>
      <c r="Y3578" s="53" t="s">
        <v>753</v>
      </c>
      <c r="Z3578" s="53" t="s">
        <v>162</v>
      </c>
      <c r="AA3578" s="53" t="str">
        <f>IF(OR(VLOOKUP(Table1[[#This Row],[sheet]],Prg!$A$7:$F$31,6,FALSE)=Prg!$O$2,VLOOKUP(Table1[[#This Row],[sheet]],Prg!$A$7:$F$31,6,FALSE)=Prg!$O$3),"Yes","No")</f>
        <v>No</v>
      </c>
      <c r="AB3578" s="53"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25">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25">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25">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25">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25">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25">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25">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25">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25">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25">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25">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25">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25">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25">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25">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25">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25">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25">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25">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25">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25">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25">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25">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25">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25">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25">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25">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25">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25">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25">
      <c r="X3608">
        <v>21</v>
      </c>
      <c r="Y3608" s="53" t="s">
        <v>753</v>
      </c>
      <c r="Z3608" s="53" t="s">
        <v>162</v>
      </c>
      <c r="AA3608" s="53" t="str">
        <f>IF(OR(VLOOKUP(Table1[[#This Row],[sheet]],Prg!$A$7:$F$31,6,FALSE)=Prg!$O$2,VLOOKUP(Table1[[#This Row],[sheet]],Prg!$A$7:$F$31,6,FALSE)=Prg!$O$3),"Yes","No")</f>
        <v>No</v>
      </c>
      <c r="AB3608" s="53">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25">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25">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25">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25">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25">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25">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25">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25">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25">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25">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25">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25">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25">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25">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25">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25">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25">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25">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25">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25">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25">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25">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25">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25">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25">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25">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25">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25">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25">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25">
      <c r="X3638">
        <v>21</v>
      </c>
      <c r="Y3638" s="53" t="s">
        <v>753</v>
      </c>
      <c r="Z3638" s="53" t="s">
        <v>162</v>
      </c>
      <c r="AA3638" s="53" t="str">
        <f>IF(OR(VLOOKUP(Table1[[#This Row],[sheet]],Prg!$A$7:$F$31,6,FALSE)=Prg!$O$2,VLOOKUP(Table1[[#This Row],[sheet]],Prg!$A$7:$F$31,6,FALSE)=Prg!$O$3),"Yes","No")</f>
        <v>No</v>
      </c>
      <c r="AB3638" s="53">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25">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25">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25">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25">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25">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25">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25">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25">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25">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25">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25">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25">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25">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25">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25">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25">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25">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25">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25">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25">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25">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25">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25">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25">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25">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25">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25">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25">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25">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25">
      <c r="X3668">
        <v>21</v>
      </c>
      <c r="Y3668" s="53" t="s">
        <v>753</v>
      </c>
      <c r="Z3668" s="53" t="s">
        <v>162</v>
      </c>
      <c r="AA3668" s="53" t="str">
        <f>IF(OR(VLOOKUP(Table1[[#This Row],[sheet]],Prg!$A$7:$F$31,6,FALSE)=Prg!$O$2,VLOOKUP(Table1[[#This Row],[sheet]],Prg!$A$7:$F$31,6,FALSE)=Prg!$O$3),"Yes","No")</f>
        <v>No</v>
      </c>
      <c r="AB3668" s="53">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25">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25">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25">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25">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25">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25">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25">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25">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25">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25">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25">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25">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25">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25">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25">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25">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25">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25">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25">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25">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25">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25">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25">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25">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25">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25">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25">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25">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25">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25">
      <c r="X3698">
        <v>21</v>
      </c>
      <c r="Y3698" s="53" t="s">
        <v>753</v>
      </c>
      <c r="Z3698" s="53" t="s">
        <v>162</v>
      </c>
      <c r="AA3698" s="53" t="str">
        <f>IF(OR(VLOOKUP(Table1[[#This Row],[sheet]],Prg!$A$7:$F$31,6,FALSE)=Prg!$O$2,VLOOKUP(Table1[[#This Row],[sheet]],Prg!$A$7:$F$31,6,FALSE)=Prg!$O$3),"Yes","No")</f>
        <v>No</v>
      </c>
      <c r="AB3698" s="53">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25">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25">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25">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25">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25">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25">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25">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25">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25">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25">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25">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25">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25">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25">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25">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25">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25">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25">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25">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25">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25">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25">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25">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25">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25">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25">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25">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25">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25">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25">
      <c r="X3728">
        <v>21</v>
      </c>
      <c r="Y3728" s="53" t="s">
        <v>753</v>
      </c>
      <c r="Z3728" s="53" t="s">
        <v>162</v>
      </c>
      <c r="AA3728" s="53" t="str">
        <f>IF(OR(VLOOKUP(Table1[[#This Row],[sheet]],Prg!$A$7:$F$31,6,FALSE)=Prg!$O$2,VLOOKUP(Table1[[#This Row],[sheet]],Prg!$A$7:$F$31,6,FALSE)=Prg!$O$3),"Yes","No")</f>
        <v>No</v>
      </c>
      <c r="AB3728" s="53">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25">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25">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25">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25">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25">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25">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25">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25">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25">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25">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25">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25">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25">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25">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25">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25">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25">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25">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25">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25">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25">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25">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25">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25">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25">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25">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25">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25">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25">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25">
      <c r="X3758">
        <v>21</v>
      </c>
      <c r="Y3758" s="53" t="s">
        <v>753</v>
      </c>
      <c r="Z3758" s="53" t="s">
        <v>162</v>
      </c>
      <c r="AA3758" s="53" t="str">
        <f>IF(OR(VLOOKUP(Table1[[#This Row],[sheet]],Prg!$A$7:$F$31,6,FALSE)=Prg!$O$2,VLOOKUP(Table1[[#This Row],[sheet]],Prg!$A$7:$F$31,6,FALSE)=Prg!$O$3),"Yes","No")</f>
        <v>No</v>
      </c>
      <c r="AB3758" s="53"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25">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25">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25">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25">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25">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25">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25">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25">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25">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25">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25">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25">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25">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25">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25">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25">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25">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25">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25">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25">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25">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25">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25">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25">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25">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25">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25">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25">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25">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25">
      <c r="X3788">
        <v>22</v>
      </c>
      <c r="Y3788" s="53" t="s">
        <v>753</v>
      </c>
      <c r="Z3788" s="53" t="s">
        <v>162</v>
      </c>
      <c r="AA3788" s="53" t="str">
        <f>IF(OR(VLOOKUP(Table1[[#This Row],[sheet]],Prg!$A$7:$F$31,6,FALSE)=Prg!$O$2,VLOOKUP(Table1[[#This Row],[sheet]],Prg!$A$7:$F$31,6,FALSE)=Prg!$O$3),"Yes","No")</f>
        <v>No</v>
      </c>
      <c r="AB3788" s="53">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25">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25">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25">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25">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25">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25">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25">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25">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25">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25">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25">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25">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25">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25">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25">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25">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25">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25">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25">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25">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25">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25">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25">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25">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25">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25">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25">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25">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25">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25">
      <c r="X3818">
        <v>22</v>
      </c>
      <c r="Y3818" s="53" t="s">
        <v>753</v>
      </c>
      <c r="Z3818" s="53" t="s">
        <v>162</v>
      </c>
      <c r="AA3818" s="53" t="str">
        <f>IF(OR(VLOOKUP(Table1[[#This Row],[sheet]],Prg!$A$7:$F$31,6,FALSE)=Prg!$O$2,VLOOKUP(Table1[[#This Row],[sheet]],Prg!$A$7:$F$31,6,FALSE)=Prg!$O$3),"Yes","No")</f>
        <v>No</v>
      </c>
      <c r="AB3818" s="53">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25">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25">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25">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25">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25">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25">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25">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25">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25">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25">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25">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25">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25">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25">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25">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25">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25">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25">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25">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25">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25">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25">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25">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25">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25">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25">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25">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25">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25">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25">
      <c r="X3848">
        <v>22</v>
      </c>
      <c r="Y3848" s="53" t="s">
        <v>753</v>
      </c>
      <c r="Z3848" s="53" t="s">
        <v>162</v>
      </c>
      <c r="AA3848" s="53" t="str">
        <f>IF(OR(VLOOKUP(Table1[[#This Row],[sheet]],Prg!$A$7:$F$31,6,FALSE)=Prg!$O$2,VLOOKUP(Table1[[#This Row],[sheet]],Prg!$A$7:$F$31,6,FALSE)=Prg!$O$3),"Yes","No")</f>
        <v>No</v>
      </c>
      <c r="AB3848" s="53">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25">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25">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25">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25">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25">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25">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25">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25">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25">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25">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25">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25">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25">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25">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25">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25">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25">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25">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25">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25">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25">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25">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25">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25">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25">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25">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25">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25">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25">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25">
      <c r="X3878">
        <v>22</v>
      </c>
      <c r="Y3878" s="53" t="s">
        <v>753</v>
      </c>
      <c r="Z3878" s="53" t="s">
        <v>162</v>
      </c>
      <c r="AA3878" s="53" t="str">
        <f>IF(OR(VLOOKUP(Table1[[#This Row],[sheet]],Prg!$A$7:$F$31,6,FALSE)=Prg!$O$2,VLOOKUP(Table1[[#This Row],[sheet]],Prg!$A$7:$F$31,6,FALSE)=Prg!$O$3),"Yes","No")</f>
        <v>No</v>
      </c>
      <c r="AB3878" s="53">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25">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25">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25">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25">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25">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25">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25">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25">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25">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25">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25">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25">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25">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25">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25">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25">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25">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25">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25">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25">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25">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25">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25">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25">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25">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25">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25">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25">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25">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25">
      <c r="X3908">
        <v>22</v>
      </c>
      <c r="Y3908" s="53" t="s">
        <v>753</v>
      </c>
      <c r="Z3908" s="53" t="s">
        <v>162</v>
      </c>
      <c r="AA3908" s="53" t="str">
        <f>IF(OR(VLOOKUP(Table1[[#This Row],[sheet]],Prg!$A$7:$F$31,6,FALSE)=Prg!$O$2,VLOOKUP(Table1[[#This Row],[sheet]],Prg!$A$7:$F$31,6,FALSE)=Prg!$O$3),"Yes","No")</f>
        <v>No</v>
      </c>
      <c r="AB3908" s="53">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25">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25">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25">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25">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25">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25">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25">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25">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25">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25">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25">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25">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25">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25">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25">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25">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25">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25">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25">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25">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25">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25">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25">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25">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25">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25">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25">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25">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25">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25">
      <c r="X3938">
        <v>22</v>
      </c>
      <c r="Y3938" s="53" t="s">
        <v>753</v>
      </c>
      <c r="Z3938" s="53" t="s">
        <v>162</v>
      </c>
      <c r="AA3938" s="53" t="str">
        <f>IF(OR(VLOOKUP(Table1[[#This Row],[sheet]],Prg!$A$7:$F$31,6,FALSE)=Prg!$O$2,VLOOKUP(Table1[[#This Row],[sheet]],Prg!$A$7:$F$31,6,FALSE)=Prg!$O$3),"Yes","No")</f>
        <v>No</v>
      </c>
      <c r="AB3938" s="53"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25">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25">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25">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25">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25">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25">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25">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25">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25">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25">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25">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25">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25">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25">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25">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25">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25">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25">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25">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25">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25">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25">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25">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25">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25">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25">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25">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25">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25">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25">
      <c r="X3968">
        <v>23</v>
      </c>
      <c r="Y3968" s="53" t="s">
        <v>753</v>
      </c>
      <c r="Z3968" s="53" t="s">
        <v>162</v>
      </c>
      <c r="AA3968" s="53" t="str">
        <f>IF(OR(VLOOKUP(Table1[[#This Row],[sheet]],Prg!$A$7:$F$31,6,FALSE)=Prg!$O$2,VLOOKUP(Table1[[#This Row],[sheet]],Prg!$A$7:$F$31,6,FALSE)=Prg!$O$3),"Yes","No")</f>
        <v>No</v>
      </c>
      <c r="AB3968" s="53">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25">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25">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25">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25">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25">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25">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25">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25">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25">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25">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25">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25">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25">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25">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25">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25">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25">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25">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25">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25">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25">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25">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25">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25">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25">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25">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25">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25">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25">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25">
      <c r="X3998">
        <v>23</v>
      </c>
      <c r="Y3998" s="53" t="s">
        <v>753</v>
      </c>
      <c r="Z3998" s="53" t="s">
        <v>162</v>
      </c>
      <c r="AA3998" s="53" t="str">
        <f>IF(OR(VLOOKUP(Table1[[#This Row],[sheet]],Prg!$A$7:$F$31,6,FALSE)=Prg!$O$2,VLOOKUP(Table1[[#This Row],[sheet]],Prg!$A$7:$F$31,6,FALSE)=Prg!$O$3),"Yes","No")</f>
        <v>No</v>
      </c>
      <c r="AB3998" s="53">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25">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25">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25">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25">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25">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25">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25">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25">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25">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25">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25">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25">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25">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25">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25">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25">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25">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25">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25">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25">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25">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25">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25">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25">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25">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25">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25">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25">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25">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25">
      <c r="X4028">
        <v>23</v>
      </c>
      <c r="Y4028" s="53" t="s">
        <v>753</v>
      </c>
      <c r="Z4028" s="53" t="s">
        <v>162</v>
      </c>
      <c r="AA4028" s="53" t="str">
        <f>IF(OR(VLOOKUP(Table1[[#This Row],[sheet]],Prg!$A$7:$F$31,6,FALSE)=Prg!$O$2,VLOOKUP(Table1[[#This Row],[sheet]],Prg!$A$7:$F$31,6,FALSE)=Prg!$O$3),"Yes","No")</f>
        <v>No</v>
      </c>
      <c r="AB4028" s="53">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25">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25">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25">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25">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25">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25">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25">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25">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25">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25">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25">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25">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25">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25">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25">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25">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25">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25">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25">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25">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25">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25">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25">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25">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25">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25">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25">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25">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25">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25">
      <c r="X4058">
        <v>23</v>
      </c>
      <c r="Y4058" s="53" t="s">
        <v>753</v>
      </c>
      <c r="Z4058" s="53" t="s">
        <v>162</v>
      </c>
      <c r="AA4058" s="53" t="str">
        <f>IF(OR(VLOOKUP(Table1[[#This Row],[sheet]],Prg!$A$7:$F$31,6,FALSE)=Prg!$O$2,VLOOKUP(Table1[[#This Row],[sheet]],Prg!$A$7:$F$31,6,FALSE)=Prg!$O$3),"Yes","No")</f>
        <v>No</v>
      </c>
      <c r="AB4058" s="53">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25">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25">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25">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25">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25">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25">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25">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25">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25">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25">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25">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25">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25">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25">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25">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25">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25">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25">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25">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25">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25">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25">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25">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25">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25">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25">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25">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25">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25">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25">
      <c r="X4088">
        <v>23</v>
      </c>
      <c r="Y4088" s="53" t="s">
        <v>753</v>
      </c>
      <c r="Z4088" s="53" t="s">
        <v>162</v>
      </c>
      <c r="AA4088" s="53" t="str">
        <f>IF(OR(VLOOKUP(Table1[[#This Row],[sheet]],Prg!$A$7:$F$31,6,FALSE)=Prg!$O$2,VLOOKUP(Table1[[#This Row],[sheet]],Prg!$A$7:$F$31,6,FALSE)=Prg!$O$3),"Yes","No")</f>
        <v>No</v>
      </c>
      <c r="AB4088" s="53">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25">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25">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25">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25">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25">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25">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25">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25">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25">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25">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25">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25">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25">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25">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25">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25">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25">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25">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25">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25">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25">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25">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25">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25">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25">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25">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25">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25">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25">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25">
      <c r="X4118">
        <v>23</v>
      </c>
      <c r="Y4118" s="53" t="s">
        <v>753</v>
      </c>
      <c r="Z4118" s="53" t="s">
        <v>162</v>
      </c>
      <c r="AA4118" s="53" t="str">
        <f>IF(OR(VLOOKUP(Table1[[#This Row],[sheet]],Prg!$A$7:$F$31,6,FALSE)=Prg!$O$2,VLOOKUP(Table1[[#This Row],[sheet]],Prg!$A$7:$F$31,6,FALSE)=Prg!$O$3),"Yes","No")</f>
        <v>No</v>
      </c>
      <c r="AB4118" s="53"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25">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25">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25">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25">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25">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25">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25">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25">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25">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25">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25">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25">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25">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25">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25">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25">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25">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25">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25">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25">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25">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25">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25">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25">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25">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25">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25">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25">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25">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25">
      <c r="X4148">
        <v>24</v>
      </c>
      <c r="Y4148" s="53" t="s">
        <v>753</v>
      </c>
      <c r="Z4148" s="53" t="s">
        <v>162</v>
      </c>
      <c r="AA4148" s="53" t="str">
        <f>IF(OR(VLOOKUP(Table1[[#This Row],[sheet]],Prg!$A$7:$F$31,6,FALSE)=Prg!$O$2,VLOOKUP(Table1[[#This Row],[sheet]],Prg!$A$7:$F$31,6,FALSE)=Prg!$O$3),"Yes","No")</f>
        <v>No</v>
      </c>
      <c r="AB4148" s="53">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25">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25">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25">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25">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25">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25">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25">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25">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25">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25">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25">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25">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25">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25">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25">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25">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25">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25">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25">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25">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25">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25">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25">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25">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25">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25">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25">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25">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25">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25">
      <c r="X4178">
        <v>24</v>
      </c>
      <c r="Y4178" s="53" t="s">
        <v>753</v>
      </c>
      <c r="Z4178" s="53" t="s">
        <v>162</v>
      </c>
      <c r="AA4178" s="53" t="str">
        <f>IF(OR(VLOOKUP(Table1[[#This Row],[sheet]],Prg!$A$7:$F$31,6,FALSE)=Prg!$O$2,VLOOKUP(Table1[[#This Row],[sheet]],Prg!$A$7:$F$31,6,FALSE)=Prg!$O$3),"Yes","No")</f>
        <v>No</v>
      </c>
      <c r="AB4178" s="53">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25">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25">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25">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25">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25">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25">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25">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25">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25">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25">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25">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25">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25">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25">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25">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25">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25">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25">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25">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25">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25">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25">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25">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25">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25">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25">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25">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25">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25">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25">
      <c r="X4208">
        <v>24</v>
      </c>
      <c r="Y4208" s="53" t="s">
        <v>753</v>
      </c>
      <c r="Z4208" s="53" t="s">
        <v>162</v>
      </c>
      <c r="AA4208" s="53" t="str">
        <f>IF(OR(VLOOKUP(Table1[[#This Row],[sheet]],Prg!$A$7:$F$31,6,FALSE)=Prg!$O$2,VLOOKUP(Table1[[#This Row],[sheet]],Prg!$A$7:$F$31,6,FALSE)=Prg!$O$3),"Yes","No")</f>
        <v>No</v>
      </c>
      <c r="AB4208" s="53">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25">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25">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25">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25">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25">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25">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25">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25">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25">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25">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25">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25">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25">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25">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25">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25">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25">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25">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25">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25">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25">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25">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25">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25">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25">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25">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25">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25">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25">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25">
      <c r="X4238">
        <v>24</v>
      </c>
      <c r="Y4238" s="53" t="s">
        <v>753</v>
      </c>
      <c r="Z4238" s="53" t="s">
        <v>162</v>
      </c>
      <c r="AA4238" s="53" t="str">
        <f>IF(OR(VLOOKUP(Table1[[#This Row],[sheet]],Prg!$A$7:$F$31,6,FALSE)=Prg!$O$2,VLOOKUP(Table1[[#This Row],[sheet]],Prg!$A$7:$F$31,6,FALSE)=Prg!$O$3),"Yes","No")</f>
        <v>No</v>
      </c>
      <c r="AB4238" s="53">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25">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25">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25">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25">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25">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25">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25">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25">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25">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25">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25">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25">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25">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25">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25">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25">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25">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25">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25">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25">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25">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25">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25">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25">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25">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25">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25">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25">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25">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25">
      <c r="X4268">
        <v>24</v>
      </c>
      <c r="Y4268" s="53" t="s">
        <v>753</v>
      </c>
      <c r="Z4268" s="53" t="s">
        <v>162</v>
      </c>
      <c r="AA4268" s="53" t="str">
        <f>IF(OR(VLOOKUP(Table1[[#This Row],[sheet]],Prg!$A$7:$F$31,6,FALSE)=Prg!$O$2,VLOOKUP(Table1[[#This Row],[sheet]],Prg!$A$7:$F$31,6,FALSE)=Prg!$O$3),"Yes","No")</f>
        <v>No</v>
      </c>
      <c r="AB4268" s="53">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25">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25">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25">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25">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25">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25">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25">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25">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25">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25">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25">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25">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25">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25">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25">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25">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25">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25">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25">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25">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25">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25">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25">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25">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25">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25">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25">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25">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25">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25">
      <c r="X4298">
        <v>24</v>
      </c>
      <c r="Y4298" s="53" t="s">
        <v>753</v>
      </c>
      <c r="Z4298" s="53" t="s">
        <v>162</v>
      </c>
      <c r="AA4298" s="53" t="str">
        <f>IF(OR(VLOOKUP(Table1[[#This Row],[sheet]],Prg!$A$7:$F$31,6,FALSE)=Prg!$O$2,VLOOKUP(Table1[[#This Row],[sheet]],Prg!$A$7:$F$31,6,FALSE)=Prg!$O$3),"Yes","No")</f>
        <v>No</v>
      </c>
      <c r="AB4298" s="53"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25">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25">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25">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25">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25">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25">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25">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25">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25">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25">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25">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25">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25">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25">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25">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25">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25">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25">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25">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25">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25">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25">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25">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25">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25">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25">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25">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25">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25">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25">
      <c r="X4328">
        <v>25</v>
      </c>
      <c r="Y4328" s="53" t="s">
        <v>753</v>
      </c>
      <c r="Z4328" s="53" t="s">
        <v>162</v>
      </c>
      <c r="AA4328" s="53" t="str">
        <f>IF(OR(VLOOKUP(Table1[[#This Row],[sheet]],Prg!$A$7:$F$31,6,FALSE)=Prg!$O$2,VLOOKUP(Table1[[#This Row],[sheet]],Prg!$A$7:$F$31,6,FALSE)=Prg!$O$3),"Yes","No")</f>
        <v>No</v>
      </c>
      <c r="AB4328" s="53">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25">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25">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25">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25">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25">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25">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25">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25">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25">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25">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25">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25">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25">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25">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25">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25">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25">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25">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25">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25">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25">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25">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25">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25">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25">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25">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25">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25">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25">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25">
      <c r="X4358">
        <v>25</v>
      </c>
      <c r="Y4358" s="53" t="s">
        <v>753</v>
      </c>
      <c r="Z4358" s="53" t="s">
        <v>162</v>
      </c>
      <c r="AA4358" s="53" t="str">
        <f>IF(OR(VLOOKUP(Table1[[#This Row],[sheet]],Prg!$A$7:$F$31,6,FALSE)=Prg!$O$2,VLOOKUP(Table1[[#This Row],[sheet]],Prg!$A$7:$F$31,6,FALSE)=Prg!$O$3),"Yes","No")</f>
        <v>No</v>
      </c>
      <c r="AB4358" s="53">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25">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25">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25">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25">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25">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25">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25">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25">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25">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25">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25">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25">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25">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25">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25">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25">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25">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25">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25">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25">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25">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25">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25">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25">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25">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25">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25">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25">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25">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25">
      <c r="X4388">
        <v>25</v>
      </c>
      <c r="Y4388" s="53" t="s">
        <v>753</v>
      </c>
      <c r="Z4388" s="53" t="s">
        <v>162</v>
      </c>
      <c r="AA4388" s="53" t="str">
        <f>IF(OR(VLOOKUP(Table1[[#This Row],[sheet]],Prg!$A$7:$F$31,6,FALSE)=Prg!$O$2,VLOOKUP(Table1[[#This Row],[sheet]],Prg!$A$7:$F$31,6,FALSE)=Prg!$O$3),"Yes","No")</f>
        <v>No</v>
      </c>
      <c r="AB4388" s="53">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25">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25">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25">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25">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25">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25">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25">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25">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25">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25">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25">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25">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25">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25">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25">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25">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25">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25">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25">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25">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25">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25">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25">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25">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25">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25">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25">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25">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25">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25">
      <c r="X4418">
        <v>25</v>
      </c>
      <c r="Y4418" s="53" t="s">
        <v>753</v>
      </c>
      <c r="Z4418" s="53" t="s">
        <v>162</v>
      </c>
      <c r="AA4418" s="53" t="str">
        <f>IF(OR(VLOOKUP(Table1[[#This Row],[sheet]],Prg!$A$7:$F$31,6,FALSE)=Prg!$O$2,VLOOKUP(Table1[[#This Row],[sheet]],Prg!$A$7:$F$31,6,FALSE)=Prg!$O$3),"Yes","No")</f>
        <v>No</v>
      </c>
      <c r="AB4418" s="53">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25">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25">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25">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25">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25">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25">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25">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25">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25">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25">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25">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25">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25">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25">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25">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25">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25">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25">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25">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25">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25">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25">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25">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25">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25">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25">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25">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25">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25">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25">
      <c r="X4448">
        <v>25</v>
      </c>
      <c r="Y4448" s="53" t="s">
        <v>753</v>
      </c>
      <c r="Z4448" s="53" t="s">
        <v>162</v>
      </c>
      <c r="AA4448" s="53" t="str">
        <f>IF(OR(VLOOKUP(Table1[[#This Row],[sheet]],Prg!$A$7:$F$31,6,FALSE)=Prg!$O$2,VLOOKUP(Table1[[#This Row],[sheet]],Prg!$A$7:$F$31,6,FALSE)=Prg!$O$3),"Yes","No")</f>
        <v>No</v>
      </c>
      <c r="AB4448" s="53">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25">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25">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25">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25">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25">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25">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25">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25">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25">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25">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25">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25">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25">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25">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25">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25">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25">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25">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25">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25">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25">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25">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25">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25">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25">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25">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25">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25">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25">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25">
      <c r="X4478">
        <v>25</v>
      </c>
      <c r="Y4478" s="53" t="s">
        <v>753</v>
      </c>
      <c r="Z4478" s="53" t="s">
        <v>162</v>
      </c>
      <c r="AA4478" s="53" t="str">
        <f>IF(OR(VLOOKUP(Table1[[#This Row],[sheet]],Prg!$A$7:$F$31,6,FALSE)=Prg!$O$2,VLOOKUP(Table1[[#This Row],[sheet]],Prg!$A$7:$F$31,6,FALSE)=Prg!$O$3),"Yes","No")</f>
        <v>No</v>
      </c>
      <c r="AB4478" s="53"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25">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25">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25">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25">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25">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25">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25">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25">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25">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25">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25">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25">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25">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25">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25">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25">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25">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25">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25">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25">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25">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25">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25">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25">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25">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25">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25">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25">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25">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defaultColWidth="8.85546875" defaultRowHeight="15" x14ac:dyDescent="0.25"/>
  <cols>
    <col min="1" max="2" width="9.140625"/>
    <col min="3" max="3" width="15" customWidth="1"/>
  </cols>
  <sheetData>
    <row r="1" spans="1:17" x14ac:dyDescent="0.25">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25">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25">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25">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25">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25">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25">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25">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25">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25">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25">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25">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25">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25">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25">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25">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25">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25">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25">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25">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25">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25">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25">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25">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25">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25">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25">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25">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25">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25">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25">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25">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25">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25">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25">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25">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25">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25">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25">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25">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25">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25">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25">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25">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25">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25">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25">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25">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25">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25">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25">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25">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25">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25">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25">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25">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25">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25">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25">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25">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25">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25">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25">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25">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25">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25">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25">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25">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25">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25">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25">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25">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25">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25">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25">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25">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25">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25">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25">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25">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25">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25">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25">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25">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25">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25">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25">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25">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25">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25">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25">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25">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25">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25">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25">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25">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25">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25">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25">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25">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25">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25">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25">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25">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25">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25">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25">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25">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25">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25">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25">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25">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25">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25">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25">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25">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25">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25">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25">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25">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25">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25">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25">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25">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25">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25">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25">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25">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25">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25">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25">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25">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25">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25">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25">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25">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25">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25">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25">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25">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25">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25">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25">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25">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25">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25">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25">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25">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25">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25">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25">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25">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25">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25">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25">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25">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25">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25">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25">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25">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25">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25">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25">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25">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25">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25">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25">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25">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25">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25">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25">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25">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25">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25">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25">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25">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25">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25">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25">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25">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25">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25">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25">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25">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25">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25">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25">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25">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25">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25">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25">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25">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25">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25">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25">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25">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25">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25">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25">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25">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25">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25">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25">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25">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25">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25">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25">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25">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25">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25">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25">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25">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25">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25">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25">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25">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25">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25">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25">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25">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25">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25">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25">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25">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25">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25">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25">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25">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25">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25">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25">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25">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25">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25">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25">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25">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25">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25">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25">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25">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25">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25">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25">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25">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25">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25">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25">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25">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25">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25">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25">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25">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25">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25">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25">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25">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25">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25">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25">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25">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25">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25">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25">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25">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25">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25">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25">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25">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25">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25">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25">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25">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25">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25">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25">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25">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25">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25">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25">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25">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25">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25">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25">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25">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25">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25">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25">
      <c r="A287">
        <f t="shared" si="5"/>
        <v>8</v>
      </c>
      <c r="B287">
        <f>COUNTIF(A$1:A287,A287)</f>
        <v>1</v>
      </c>
      <c r="C287" t="str" cm="1">
        <f t="array" aca="1" ref="C287" ca="1">INDIRECT("'"&amp;A287&amp;"'!F"&amp;B287+59)</f>
        <v>CAMBODIA</v>
      </c>
      <c r="D287" cm="1">
        <f t="array" aca="1" ref="D287" ca="1">INDIRECT("'"&amp;$A287&amp;"'!O"&amp;$B287+59)</f>
        <v>557717</v>
      </c>
      <c r="E287" cm="1">
        <f t="array" aca="1" ref="E287" ca="1">INDIRECT("'"&amp;$A287&amp;"'!P"&amp;$B287+59)</f>
        <v>733381.76</v>
      </c>
      <c r="F287" cm="1">
        <f t="array" aca="1" ref="F287" ca="1">INDIRECT("'"&amp;$A287&amp;"'!Q"&amp;$B287+59)</f>
        <v>763815.76</v>
      </c>
      <c r="G287" cm="1">
        <f t="array" aca="1" ref="G287" ca="1">INDIRECT("'"&amp;$A287&amp;"'!R"&amp;$B287+59)</f>
        <v>758151</v>
      </c>
      <c r="H287" cm="1">
        <f t="array" aca="1" ref="H287" ca="1">INDIRECT("'"&amp;$A287&amp;"'!S"&amp;$B287+59)</f>
        <v>769106</v>
      </c>
      <c r="I287" cm="1">
        <f t="array" aca="1" ref="I287" ca="1">INDIRECT("'"&amp;$A287&amp;"'!t"&amp;$B287+59)</f>
        <v>3582171.52</v>
      </c>
    </row>
    <row r="288" spans="1:9" x14ac:dyDescent="0.25">
      <c r="A288">
        <f t="shared" si="5"/>
        <v>8</v>
      </c>
      <c r="B288">
        <f>COUNTIF(A$1:A288,A288)</f>
        <v>2</v>
      </c>
      <c r="C288" t="str" cm="1">
        <f t="array" aca="1" ref="C288" ca="1">INDIRECT("'"&amp;A288&amp;"'!F"&amp;B288+59)</f>
        <v>LAOS</v>
      </c>
      <c r="D288" cm="1">
        <f t="array" aca="1" ref="D288" ca="1">INDIRECT("'"&amp;$A288&amp;"'!O"&amp;$B288+59)</f>
        <v>537707.88</v>
      </c>
      <c r="E288" cm="1">
        <f t="array" aca="1" ref="E288" ca="1">INDIRECT("'"&amp;$A288&amp;"'!P"&amp;$B288+59)</f>
        <v>493657.78</v>
      </c>
      <c r="F288" cm="1">
        <f t="array" aca="1" ref="F288" ca="1">INDIRECT("'"&amp;$A288&amp;"'!Q"&amp;$B288+59)</f>
        <v>491795.45</v>
      </c>
      <c r="G288" cm="1">
        <f t="array" aca="1" ref="G288" ca="1">INDIRECT("'"&amp;$A288&amp;"'!R"&amp;$B288+59)</f>
        <v>488137</v>
      </c>
      <c r="H288" cm="1">
        <f t="array" aca="1" ref="H288" ca="1">INDIRECT("'"&amp;$A288&amp;"'!S"&amp;$B288+59)</f>
        <v>547393.80000000005</v>
      </c>
      <c r="I288" cm="1">
        <f t="array" aca="1" ref="I288" ca="1">INDIRECT("'"&amp;$A288&amp;"'!t"&amp;$B288+59)</f>
        <v>2558691.91</v>
      </c>
    </row>
    <row r="289" spans="1:9" x14ac:dyDescent="0.25">
      <c r="A289">
        <f t="shared" si="5"/>
        <v>8</v>
      </c>
      <c r="B289">
        <f>COUNTIF(A$1:A289,A289)</f>
        <v>3</v>
      </c>
      <c r="C289" t="str" cm="1">
        <f t="array" aca="1" ref="C289" ca="1">INDIRECT("'"&amp;A289&amp;"'!F"&amp;B289+59)</f>
        <v>VIETNAM</v>
      </c>
      <c r="D289" cm="1">
        <f t="array" aca="1" ref="D289" ca="1">INDIRECT("'"&amp;$A289&amp;"'!O"&amp;$B289+59)</f>
        <v>608461</v>
      </c>
      <c r="E289" cm="1">
        <f t="array" aca="1" ref="E289" ca="1">INDIRECT("'"&amp;$A289&amp;"'!P"&amp;$B289+59)</f>
        <v>687699</v>
      </c>
      <c r="F289" cm="1">
        <f t="array" aca="1" ref="F289" ca="1">INDIRECT("'"&amp;$A289&amp;"'!Q"&amp;$B289+59)</f>
        <v>918200</v>
      </c>
      <c r="G289" cm="1">
        <f t="array" aca="1" ref="G289" ca="1">INDIRECT("'"&amp;$A289&amp;"'!R"&amp;$B289+59)</f>
        <v>828351</v>
      </c>
      <c r="H289" cm="1">
        <f t="array" aca="1" ref="H289" ca="1">INDIRECT("'"&amp;$A289&amp;"'!S"&amp;$B289+59)</f>
        <v>789149</v>
      </c>
      <c r="I289" cm="1">
        <f t="array" aca="1" ref="I289" ca="1">INDIRECT("'"&amp;$A289&amp;"'!t"&amp;$B289+59)</f>
        <v>3831860</v>
      </c>
    </row>
    <row r="290" spans="1:9" x14ac:dyDescent="0.25">
      <c r="A290">
        <f t="shared" si="5"/>
        <v>8</v>
      </c>
      <c r="B290">
        <f>COUNTIF(A$1:A290,A290)</f>
        <v>4</v>
      </c>
      <c r="C290" t="str" cm="1">
        <f t="array" aca="1" ref="C290" ca="1">INDIRECT("'"&amp;A290&amp;"'!F"&amp;B290+59)</f>
        <v>Global/UNI</v>
      </c>
      <c r="D290" cm="1">
        <f t="array" aca="1" ref="D290" ca="1">INDIRECT("'"&amp;$A290&amp;"'!O"&amp;$B290+59)</f>
        <v>266194</v>
      </c>
      <c r="E290" cm="1">
        <f t="array" aca="1" ref="E290" ca="1">INDIRECT("'"&amp;$A290&amp;"'!P"&amp;$B290+59)</f>
        <v>258380.74</v>
      </c>
      <c r="F290" cm="1">
        <f t="array" aca="1" ref="F290" ca="1">INDIRECT("'"&amp;$A290&amp;"'!Q"&amp;$B290+59)</f>
        <v>310685.40000000002</v>
      </c>
      <c r="G290" cm="1">
        <f t="array" aca="1" ref="G290" ca="1">INDIRECT("'"&amp;$A290&amp;"'!R"&amp;$B290+59)</f>
        <v>344591.46</v>
      </c>
      <c r="H290" cm="1">
        <f t="array" aca="1" ref="H290" ca="1">INDIRECT("'"&amp;$A290&amp;"'!S"&amp;$B290+59)</f>
        <v>362644</v>
      </c>
      <c r="I290" cm="1">
        <f t="array" aca="1" ref="I290" ca="1">INDIRECT("'"&amp;$A290&amp;"'!t"&amp;$B290+59)</f>
        <v>1542495.6</v>
      </c>
    </row>
    <row r="291" spans="1:9" x14ac:dyDescent="0.25">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25">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25">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25">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25">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25">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25">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25">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25">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25">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25">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25">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25">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25">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25">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25">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25">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25">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25">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25">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25">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25">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25">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25">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25">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25">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25">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25">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25">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25">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25">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25">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25">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25">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25">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25">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25">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25">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25">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25">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25">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25">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25">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25">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25">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25">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25">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25">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25">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25">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25">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25">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25">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25">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25">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25">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25">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25">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25">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25">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25">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25">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25">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25">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25">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25">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25">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25">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25">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25">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25">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25">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25">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25">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25">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25">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25">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25">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25">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25">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25">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25">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25">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25">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25">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25">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25">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25">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25">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25">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25">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25">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25">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25">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25">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25">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25">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25">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25">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25">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25">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25">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25">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25">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25">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25">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25">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25">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25">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25">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25">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25">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25">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25">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25">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25">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25">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25">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25">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25">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25">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25">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25">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25">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25">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25">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25">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25">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25">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25">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25">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25">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25">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25">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25">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25">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25">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25">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25">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25">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25">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25">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25">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25">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25">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25">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25">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25">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25">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25">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25">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25">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25">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25">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25">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25">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25">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25">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25">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25">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25">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25">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25">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25">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25">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25">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25">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25">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25">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25">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25">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25">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25">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25">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25">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25">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25">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25">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25">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25">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25">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25">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25">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25">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25">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25">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25">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25">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25">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25">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25">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25">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25">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25">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25">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25">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25">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25">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25">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25">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25">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25">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25">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25">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25">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25">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25">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25">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25">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25">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25">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25">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25">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25">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25">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25">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25">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25">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25">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25">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25">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25">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25">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25">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25">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25">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25">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25">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25">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25">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25">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25">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25">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25">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25">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25">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25">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25">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25">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25">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25">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25">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25">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25">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25">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25">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25">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25">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25">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25">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25">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25">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25">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25">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25">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25">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25">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25">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25">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25">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25">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25">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25">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25">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25">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25">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25">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25">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25">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25">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25">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25">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25">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25">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25">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25">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25">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25">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25">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25">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25">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25">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25">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25">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25">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25">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25">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25">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25">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25">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25">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25">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25">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25">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25">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25">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25">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25">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25">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25">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25">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25">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25">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25">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25">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25">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25">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25">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25">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25">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25">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25">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25">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25">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25">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25">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25">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25">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25">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25">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25">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25">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25">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25">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25">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25">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25">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25">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25">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25">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25">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25">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25">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25">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25">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25">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25">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25">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25">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25">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25">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25">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25">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25">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25">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25">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25">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25">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25">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25">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25">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25">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25">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25">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25">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25">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25">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25">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25">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25">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25">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25">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25">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25">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25">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25">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25">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25">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25">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25">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25">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25">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25">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25">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25">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25">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25">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25">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25">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25">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25">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25">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25">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25">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25">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25">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25">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25">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25">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25">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25">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25">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25">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25">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25">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25">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25">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25">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25">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25">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25">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25">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25">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25">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25">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25">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25">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25">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25">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25">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25">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25">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25">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25">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25">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25">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25">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25">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25">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25">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25">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25">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25">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25">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25">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25">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25">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25">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25">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25">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25">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25">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25">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25">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25">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25">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25">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25">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25">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25">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25">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25">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25">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25">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25">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25">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25">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25">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25">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25">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25">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25">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25">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25">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25">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25">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25">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25">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25">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25">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25">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25">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25">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25">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25">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25">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25">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25">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25">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25">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25">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25">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25">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25">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25">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25">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25">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25">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25">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25">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25">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25">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25">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25">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25">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25">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25">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25">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25">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25">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25">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25">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25">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25">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25">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25">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25">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25">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25">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25">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25">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25">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25">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25">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25">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25">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25">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25">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25">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25">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25">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25">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25">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25">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25">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25">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25">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25">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25">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25">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25">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25">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25">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25">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25">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25">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25">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25">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25">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25">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25">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25">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25">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25">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25">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25">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25">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25">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25">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25">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25">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25">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25">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25">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25">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25">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25">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25">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25">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25">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25">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25">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25">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25">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25">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25">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25">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25">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25">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25">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25">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25">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25">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25">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25">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25">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25">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25">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25">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25">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25">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25">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25">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25">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25">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25">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25">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25">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25">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25">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25">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25">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25">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25">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25">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25">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25">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25">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25">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25">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25">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25">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25">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25">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25">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25">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25">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25">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25">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25">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25">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25">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25">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25">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25">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25">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25">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25">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25">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25">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25">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25">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25">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25">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25">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25">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25">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25">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25">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25">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25">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25">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25">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25">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25">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25">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25">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25">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25">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25">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25">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25">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25">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25">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25">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25">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25">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25">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25">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25">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25">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25">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25">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25">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25">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25">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25">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25">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25">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25">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25">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25">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25">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25">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25">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25">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25">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25">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25">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25">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25">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25">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25">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25">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25">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25">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25">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25">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25">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25">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25">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25">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25">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25">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25">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25">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25">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25">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25">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25">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25">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25">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25">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25">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25">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25">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25">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25">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25">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25">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25">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25">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25">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25">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25">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25">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25">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25">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25">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25">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25">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25">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25">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25">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25">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25">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25">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25">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25">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25">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25">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25">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25">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25">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25">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25">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25">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25">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25">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25">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25">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25">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25">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25">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25">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25">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25">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25">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25">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25">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25">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25">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25">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25">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Joan Roldán Serra</cp:lastModifiedBy>
  <cp:revision/>
  <dcterms:created xsi:type="dcterms:W3CDTF">2021-04-29T16:53:55Z</dcterms:created>
  <dcterms:modified xsi:type="dcterms:W3CDTF">2023-11-14T13:56:30Z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