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almadhoun\Desktop\"/>
    </mc:Choice>
  </mc:AlternateContent>
  <xr:revisionPtr revIDLastSave="0" documentId="13_ncr:1_{2C4978B0-596B-4BC8-ACE4-1AC98BDD8D43}" xr6:coauthVersionLast="47" xr6:coauthVersionMax="47" xr10:uidLastSave="{00000000-0000-0000-0000-000000000000}"/>
  <bookViews>
    <workbookView xWindow="-108" yWindow="-108" windowWidth="23256" windowHeight="12456" xr2:uid="{4C72ECBE-169D-47BF-AB29-525F8C20B08E}"/>
  </bookViews>
  <sheets>
    <sheet name="Budget Recap" sheetId="8" r:id="rId1"/>
    <sheet name="PB relief. Gaza&amp;Leb" sheetId="1" r:id="rId2"/>
    <sheet name="LFO - Hospitalization" sheetId="3" r:id="rId3"/>
    <sheet name="EIE " sheetId="6" r:id="rId4"/>
    <sheet name="Digital Archive" sheetId="5" r:id="rId5"/>
  </sheets>
  <definedNames>
    <definedName name="_Hlk143498452" localSheetId="1">'PB relief. Gaza&amp;Leb'!#REF!</definedName>
    <definedName name="_Toc145350354" localSheetId="1">'PB relief. Gaza&amp;Leb'!#REF!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8" l="1"/>
  <c r="H21" i="8"/>
  <c r="H17" i="8"/>
  <c r="H10" i="8"/>
  <c r="H9" i="8"/>
  <c r="H11" i="8" s="1"/>
  <c r="L13" i="8"/>
  <c r="M13" i="8" s="1"/>
  <c r="L14" i="8"/>
  <c r="M14" i="8" s="1"/>
  <c r="L10" i="8"/>
  <c r="M10" i="8" s="1"/>
  <c r="L9" i="8"/>
  <c r="M9" i="8" s="1"/>
  <c r="J22" i="8"/>
  <c r="L22" i="8" s="1"/>
  <c r="M22" i="8" s="1"/>
  <c r="G22" i="8"/>
  <c r="H22" i="8" s="1"/>
  <c r="K21" i="8"/>
  <c r="K22" i="8" s="1"/>
  <c r="J18" i="8"/>
  <c r="L18" i="8" s="1"/>
  <c r="M18" i="8" s="1"/>
  <c r="G18" i="8"/>
  <c r="H18" i="8" s="1"/>
  <c r="K17" i="8"/>
  <c r="K18" i="8" s="1"/>
  <c r="J15" i="8"/>
  <c r="L15" i="8" s="1"/>
  <c r="G15" i="8"/>
  <c r="H14" i="8"/>
  <c r="H13" i="8"/>
  <c r="H15" i="8" s="1"/>
  <c r="K11" i="8"/>
  <c r="K23" i="8" s="1"/>
  <c r="J11" i="8"/>
  <c r="L11" i="8" s="1"/>
  <c r="M11" i="8" s="1"/>
  <c r="F14" i="6"/>
  <c r="H14" i="6" s="1"/>
  <c r="F15" i="6"/>
  <c r="H15" i="6" s="1"/>
  <c r="J15" i="6" s="1"/>
  <c r="F16" i="6"/>
  <c r="H16" i="6" s="1"/>
  <c r="J16" i="6" s="1"/>
  <c r="F17" i="6"/>
  <c r="H17" i="6" s="1"/>
  <c r="J17" i="6" s="1"/>
  <c r="F13" i="6"/>
  <c r="H13" i="6" s="1"/>
  <c r="J13" i="6" s="1"/>
  <c r="F9" i="6"/>
  <c r="H9" i="6" s="1"/>
  <c r="J9" i="6" s="1"/>
  <c r="F8" i="6"/>
  <c r="H8" i="6" s="1"/>
  <c r="G17" i="6"/>
  <c r="I17" i="6" s="1"/>
  <c r="G16" i="6"/>
  <c r="I16" i="6" s="1"/>
  <c r="G15" i="6"/>
  <c r="I15" i="6" s="1"/>
  <c r="G14" i="6"/>
  <c r="I14" i="6" s="1"/>
  <c r="G13" i="6"/>
  <c r="I13" i="6" s="1"/>
  <c r="G9" i="6"/>
  <c r="I9" i="6" s="1"/>
  <c r="G8" i="6"/>
  <c r="I8" i="6" s="1"/>
  <c r="H12" i="5"/>
  <c r="J12" i="5" s="1"/>
  <c r="H11" i="5"/>
  <c r="I11" i="5" s="1"/>
  <c r="K11" i="5" s="1"/>
  <c r="G10" i="5"/>
  <c r="G9" i="5"/>
  <c r="G8" i="5"/>
  <c r="E10" i="5"/>
  <c r="H10" i="5" s="1"/>
  <c r="E9" i="5"/>
  <c r="H9" i="5" s="1"/>
  <c r="E8" i="5"/>
  <c r="L21" i="8" l="1"/>
  <c r="M21" i="8" s="1"/>
  <c r="K24" i="8"/>
  <c r="K25" i="8" s="1"/>
  <c r="L17" i="8"/>
  <c r="M17" i="8" s="1"/>
  <c r="J23" i="8"/>
  <c r="G23" i="8"/>
  <c r="H23" i="8" s="1"/>
  <c r="I9" i="5"/>
  <c r="M9" i="5" s="1"/>
  <c r="I8" i="5"/>
  <c r="I10" i="6"/>
  <c r="H10" i="6"/>
  <c r="J8" i="6"/>
  <c r="J10" i="6" s="1"/>
  <c r="I18" i="6"/>
  <c r="H18" i="6"/>
  <c r="J14" i="6"/>
  <c r="J18" i="6" s="1"/>
  <c r="G10" i="6"/>
  <c r="G18" i="6"/>
  <c r="L10" i="5"/>
  <c r="J10" i="5"/>
  <c r="K8" i="5"/>
  <c r="J9" i="5"/>
  <c r="L9" i="5"/>
  <c r="L13" i="5" s="1"/>
  <c r="K9" i="5"/>
  <c r="H8" i="5"/>
  <c r="J8" i="5" s="1"/>
  <c r="I12" i="5"/>
  <c r="K12" i="5" s="1"/>
  <c r="I10" i="5"/>
  <c r="I13" i="5" s="1"/>
  <c r="I14" i="5" s="1"/>
  <c r="I15" i="5" s="1"/>
  <c r="H13" i="5"/>
  <c r="H14" i="5" s="1"/>
  <c r="H15" i="5" s="1"/>
  <c r="H16" i="5" s="1"/>
  <c r="J11" i="5"/>
  <c r="G24" i="8" l="1"/>
  <c r="J24" i="8"/>
  <c r="L24" i="8" s="1"/>
  <c r="M24" i="8" s="1"/>
  <c r="J25" i="8"/>
  <c r="L25" i="8" s="1"/>
  <c r="M25" i="8" s="1"/>
  <c r="L23" i="8"/>
  <c r="M23" i="8" s="1"/>
  <c r="J13" i="5"/>
  <c r="I19" i="6"/>
  <c r="I20" i="6" s="1"/>
  <c r="I21" i="6" s="1"/>
  <c r="H19" i="6"/>
  <c r="H20" i="6" s="1"/>
  <c r="G19" i="6"/>
  <c r="J19" i="6"/>
  <c r="M10" i="5"/>
  <c r="M13" i="5" s="1"/>
  <c r="M14" i="5" s="1"/>
  <c r="K10" i="5"/>
  <c r="K13" i="5" s="1"/>
  <c r="K14" i="5" s="1"/>
  <c r="K15" i="5" s="1"/>
  <c r="I16" i="5"/>
  <c r="L14" i="5"/>
  <c r="J14" i="5"/>
  <c r="G25" i="8" l="1"/>
  <c r="H25" i="8" s="1"/>
  <c r="H24" i="8"/>
  <c r="H21" i="6"/>
  <c r="J20" i="6"/>
  <c r="J21" i="6" s="1"/>
  <c r="G20" i="6"/>
  <c r="G21" i="6" s="1"/>
  <c r="K16" i="5"/>
  <c r="M15" i="5"/>
  <c r="M16" i="5" s="1"/>
  <c r="J15" i="5"/>
  <c r="J16" i="5" s="1"/>
  <c r="L15" i="5"/>
  <c r="L16" i="5" s="1"/>
  <c r="L10" i="3"/>
  <c r="L11" i="3" s="1"/>
  <c r="K10" i="3"/>
  <c r="K11" i="3" s="1"/>
  <c r="J10" i="3"/>
  <c r="J11" i="3" s="1"/>
  <c r="J12" i="3" s="1"/>
  <c r="I10" i="3"/>
  <c r="I11" i="3" s="1"/>
  <c r="H11" i="3"/>
  <c r="H12" i="3" s="1"/>
  <c r="H10" i="3"/>
  <c r="G12" i="3"/>
  <c r="G11" i="3"/>
  <c r="G10" i="3"/>
  <c r="G9" i="3"/>
  <c r="H9" i="3"/>
  <c r="I9" i="3"/>
  <c r="J9" i="3"/>
  <c r="K9" i="3"/>
  <c r="L9" i="3"/>
  <c r="L8" i="3"/>
  <c r="J8" i="3"/>
  <c r="K8" i="3"/>
  <c r="I8" i="3"/>
  <c r="H8" i="3"/>
  <c r="G8" i="3"/>
  <c r="F8" i="3"/>
  <c r="L12" i="3" l="1"/>
  <c r="K12" i="3"/>
  <c r="I12" i="3"/>
  <c r="L15" i="1" l="1"/>
  <c r="L14" i="1"/>
  <c r="K13" i="1"/>
  <c r="K14" i="1" s="1"/>
  <c r="K15" i="1" s="1"/>
  <c r="L13" i="1"/>
  <c r="G12" i="1"/>
  <c r="I12" i="1" s="1"/>
  <c r="I13" i="1" s="1"/>
  <c r="I14" i="1" s="1"/>
  <c r="F12" i="1"/>
  <c r="H12" i="1" s="1"/>
  <c r="G10" i="1"/>
  <c r="K10" i="1" s="1"/>
  <c r="F10" i="1"/>
  <c r="H10" i="1" s="1"/>
  <c r="L10" i="1" s="1"/>
  <c r="F9" i="1"/>
  <c r="H9" i="1" s="1"/>
  <c r="G9" i="1"/>
  <c r="I9" i="1" s="1"/>
  <c r="J9" i="1"/>
  <c r="G13" i="1" l="1"/>
  <c r="G14" i="1" s="1"/>
  <c r="J12" i="1"/>
  <c r="J13" i="1" s="1"/>
  <c r="J14" i="1" s="1"/>
  <c r="H13" i="1"/>
  <c r="H14" i="1" s="1"/>
  <c r="I15" i="1"/>
  <c r="I16" i="1" s="1"/>
  <c r="G15" i="1"/>
  <c r="G16" i="1" s="1"/>
  <c r="L16" i="1"/>
  <c r="K16" i="1"/>
  <c r="H15" i="1" l="1"/>
  <c r="H16" i="1"/>
  <c r="J15" i="1"/>
  <c r="J16" i="1" s="1"/>
</calcChain>
</file>

<file path=xl/sharedStrings.xml><?xml version="1.0" encoding="utf-8"?>
<sst xmlns="http://schemas.openxmlformats.org/spreadsheetml/2006/main" count="214" uniqueCount="95">
  <si>
    <t xml:space="preserve">Annexes for the Project Procedures Manual </t>
  </si>
  <si>
    <t>(UNORE as of 15 Oct 2025; USD 1 =&gt; EUR)</t>
  </si>
  <si>
    <t>Budget Lines</t>
  </si>
  <si>
    <t>Unit</t>
  </si>
  <si>
    <t># of units</t>
  </si>
  <si>
    <t>Total Cost</t>
  </si>
  <si>
    <t>Total Y1</t>
  </si>
  <si>
    <t xml:space="preserve">Total Y1 </t>
  </si>
  <si>
    <t xml:space="preserve">Total Y2 </t>
  </si>
  <si>
    <t xml:space="preserve">Comments / Justification </t>
  </si>
  <si>
    <t>(USD)</t>
  </si>
  <si>
    <t xml:space="preserve"> (USD) </t>
  </si>
  <si>
    <t xml:space="preserve">(USD) </t>
  </si>
  <si>
    <t>A</t>
  </si>
  <si>
    <t xml:space="preserve">DIRECT IMPLEMENTATION COST </t>
  </si>
  <si>
    <t xml:space="preserve">OPERATIONS </t>
  </si>
  <si>
    <t>Activity 1 (Gaza Field Office)</t>
  </si>
  <si>
    <t>1.1.1</t>
  </si>
  <si>
    <t>Teachers' Salary</t>
  </si>
  <si>
    <t>month/person</t>
  </si>
  <si>
    <t>To be utilized in December 2025.</t>
  </si>
  <si>
    <t>1.1.2</t>
  </si>
  <si>
    <t>Activity 2 (Lebanon Field Office)</t>
  </si>
  <si>
    <t>1.2.1</t>
  </si>
  <si>
    <t xml:space="preserve">Sub-total Operations </t>
  </si>
  <si>
    <t>SUB-TOTAL DIRECT IMPLEMENTATION COST</t>
  </si>
  <si>
    <t>B</t>
  </si>
  <si>
    <t>SUB-TOTAL INDIRECT SUPPORT COST (11%)</t>
  </si>
  <si>
    <t xml:space="preserve">TOTAL PROJECT COST </t>
  </si>
  <si>
    <t xml:space="preserve">Output: Enhanced Hospitalization Support Program including Medical Hardship Fund </t>
  </si>
  <si>
    <t>Admission/paient</t>
  </si>
  <si>
    <t>(EURO)</t>
  </si>
  <si>
    <t xml:space="preserve">Activity 1 </t>
  </si>
  <si>
    <t>Deployment of school Counsellors in GFO</t>
  </si>
  <si>
    <t>individual / month</t>
  </si>
  <si>
    <t>48 school counsellors will be deployed in GFO for 6 months at the monthly average cost indicated by the Unit Value</t>
  </si>
  <si>
    <t>Deployment of school Counsellors in WBFO</t>
  </si>
  <si>
    <t>individual / days</t>
  </si>
  <si>
    <t>54 school counsellors will be deployed in WBFO for 120 days, equivalent to 4 months, at the daily average cost indicated by the Unit Value</t>
  </si>
  <si>
    <t xml:space="preserve">MANAGEMENT COST </t>
  </si>
  <si>
    <t xml:space="preserve">Project Management and Support Staff </t>
  </si>
  <si>
    <t>2.1.1</t>
  </si>
  <si>
    <t>Project Focal Point in GFO</t>
  </si>
  <si>
    <t xml:space="preserve">One local Project Focal Point in GFO for 8.1 months, Grade 15 </t>
  </si>
  <si>
    <t>2.1.2</t>
  </si>
  <si>
    <t>Project Focal Point in WBFO</t>
  </si>
  <si>
    <t>One local Project Focal Point in GFO for 12 months, Grade 14</t>
  </si>
  <si>
    <t>2.1.3</t>
  </si>
  <si>
    <t>Programme Manager  (Consultant, international, P3)</t>
  </si>
  <si>
    <t>One Programme Manager for 12 months, international consultant equivalent to P3</t>
  </si>
  <si>
    <t>2.1.4</t>
  </si>
  <si>
    <t>Associate Programme Officer (Consultant, international P2)</t>
  </si>
  <si>
    <t>One Associate Programme Officer for 12 months, international consultant equivalent to P2</t>
  </si>
  <si>
    <t>2.1.5</t>
  </si>
  <si>
    <t>Programme Support Officer (LDC, band  F)</t>
  </si>
  <si>
    <t>One local Project Support Officer for 12 months LDC</t>
  </si>
  <si>
    <t xml:space="preserve">Sub-total Management Cost </t>
  </si>
  <si>
    <r>
      <t>Consultants (Lead Developer / Systems Integrator,</t>
    </r>
    <r>
      <rPr>
        <sz val="11"/>
        <color rgb="FF00B0F0"/>
        <rFont val="Arial"/>
        <family val="2"/>
      </rPr>
      <t xml:space="preserve"> Full-Stack Developers, </t>
    </r>
    <r>
      <rPr>
        <sz val="11"/>
        <color rgb="FF00AFEF"/>
        <rFont val="Arial"/>
        <family val="2"/>
      </rPr>
      <t>UX/UI Designer)</t>
    </r>
  </si>
  <si>
    <t>Month/Person</t>
  </si>
  <si>
    <t>Registration Assistants (Testing)</t>
  </si>
  <si>
    <t>Registration Associate (QA)</t>
  </si>
  <si>
    <t>Communication</t>
  </si>
  <si>
    <t>Office costs</t>
  </si>
  <si>
    <t xml:space="preserve"> </t>
  </si>
  <si>
    <t xml:space="preserve">UN rate of exchange  as of 15 October 2025 is used temporarily for budgeting purposes . USD1=0.865 EUR
Upon the receipt of the fund, rate applied on the date of fund receipt will be applied for conversion </t>
  </si>
  <si>
    <t xml:space="preserve">**Staff costs are based on average amounts of the  staff basic salaries. Hence, actual costs might vary at the time of implementation due to staff leaves, steps, promotions, rotations, etc. </t>
  </si>
  <si>
    <t xml:space="preserve">*UN rate of exchange  as of 15 October 2025 is used temporarily for budgeting purposes . USD1=0.865 EUR
Upon the receipt of the fund, rate applied on the date of fund receipt will be applied for conversion </t>
  </si>
  <si>
    <t>(donor currency)/EUR</t>
  </si>
  <si>
    <t>(donor currency)/ EUR</t>
  </si>
  <si>
    <t xml:space="preserve">PB-Relief, Lebanon and Gaza Fields, Project Budget Breakdown </t>
  </si>
  <si>
    <t xml:space="preserve">Syria Emergency Appeal, Hospitalization in Lebanon - Project Budget Breakdown </t>
  </si>
  <si>
    <t xml:space="preserve">Education in Emergencies, Gaza/oPt, Project Budget Breakdown </t>
  </si>
  <si>
    <t xml:space="preserve">UNRWA Archives, Project Budget Breakdown </t>
  </si>
  <si>
    <t>average Unit Value</t>
  </si>
  <si>
    <t>Average Unit Value</t>
  </si>
  <si>
    <t>(EUR)</t>
  </si>
  <si>
    <t>1.1 Activity 1 (Gaza)</t>
  </si>
  <si>
    <t>1.2 Activity 2 (Lebanon)</t>
  </si>
  <si>
    <t xml:space="preserve">A. SUB-TOTAL DIRECT IMPLEMENTATION COST </t>
  </si>
  <si>
    <t>Total Y1 / 2025</t>
  </si>
  <si>
    <t xml:space="preserve">1. Operations </t>
  </si>
  <si>
    <r>
      <t xml:space="preserve">2. Management Cost </t>
    </r>
    <r>
      <rPr>
        <i/>
        <sz val="10"/>
        <color rgb="FFC00000"/>
        <rFont val="Arial"/>
        <family val="2"/>
      </rPr>
      <t xml:space="preserve"> </t>
    </r>
  </si>
  <si>
    <t xml:space="preserve">Description </t>
  </si>
  <si>
    <t>1) Provision of formal education for Palestine refugee children in Gaza and Lebanon</t>
  </si>
  <si>
    <t xml:space="preserve">2) Education in Emergencies, Gaza/oPt, Project Budget Breakdown </t>
  </si>
  <si>
    <t>4) Integration of the Digital Archive into eUNRWA</t>
  </si>
  <si>
    <t xml:space="preserve">3) Syria Emergency Appeal, Hospitalization in Lebanon  </t>
  </si>
  <si>
    <t xml:space="preserve">SUB-TOTAL DIRECT IMPLEMENTATION COST ( 1+2+3+4) </t>
  </si>
  <si>
    <r>
      <t xml:space="preserve">INDIRECT SUPPORT COST (ISC) @ </t>
    </r>
    <r>
      <rPr>
        <b/>
        <i/>
        <sz val="10"/>
        <color rgb="FF000000"/>
        <rFont val="Arial"/>
        <family val="2"/>
      </rPr>
      <t xml:space="preserve">11%   </t>
    </r>
  </si>
  <si>
    <t xml:space="preserve">Total Y1+2  / </t>
  </si>
  <si>
    <t>Total Y2 /2026</t>
  </si>
  <si>
    <t xml:space="preserve">Grand TOTAL </t>
  </si>
  <si>
    <t xml:space="preserve">Support to UNRWA’s Education, Health, Emergency Relief, and Digital Archiving Programmes (2025–2026) </t>
  </si>
  <si>
    <t xml:space="preserve">*Total Y1+2  / </t>
  </si>
  <si>
    <t>*Total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</si>
</sst>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[$€-2]\ * #,##0.00_);_([$€-2]\ * \(#,##0.00\);_([$€-2]\ * &quot;-&quot;??_);_(@_)"/>
    <numFmt numFmtId="167" formatCode="_([$€-2]\ * #,##0_);_([$€-2]\ * \(#,##0\);_([$€-2]\ * &quot;-&quot;??_);_(@_)"/>
    <numFmt numFmtId="168" formatCode="_-[$$-409]* #,##0.00_ ;_-[$$-409]* \-#,##0.00\ ;_-[$$-409]* &quot;-&quot;??_ ;_-@_ "/>
    <numFmt numFmtId="169" formatCode="_-[$€-2]\ * #,##0.00_-;\-[$€-2]\ * #,##0.00_-;_-[$€-2]\ * &quot;-&quot;??_-;_-@_-"/>
    <numFmt numFmtId="170" formatCode="&quot;$&quot;#,##0.00"/>
    <numFmt numFmtId="171" formatCode="_([$$-409]* #,##0.00_);_([$$-409]* \(#,##0.00\);_([$$-409]* &quot;-&quot;??_);_(@_)"/>
    <numFmt numFmtId="172" formatCode="_ [$€-813]\ * #,##0_ ;_ [$€-813]\ * \-#,##0_ ;_ [$€-813]\ * &quot;-&quot;_ ;_ @_ "/>
    <numFmt numFmtId="173" formatCode="_([$$-409]* #,##0_);_([$$-409]* \(#,##0\);_([$$-409]* &quot;-&quot;_);_(@_)"/>
    <numFmt numFmtId="174" formatCode="_([$€-2]\ * #,##0_);_([$€-2]\ * \(#,##0\);_([$€-2]\ * &quot;-&quot;_);_(@_)"/>
  </numFmts>
  <fonts count="26">
    <font>
      <sz val="11"/>
      <color theme="1"/>
      <name val="Calibri"/>
      <family val="2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b/>
      <sz val="10"/>
      <color rgb="FF00B0F0"/>
      <name val="Aptos"/>
      <family val="2"/>
    </font>
    <font>
      <i/>
      <sz val="10"/>
      <color theme="1"/>
      <name val="Aptos"/>
      <family val="2"/>
    </font>
    <font>
      <i/>
      <sz val="10"/>
      <color rgb="FF000000"/>
      <name val="Aptos"/>
      <family val="2"/>
    </font>
    <font>
      <b/>
      <i/>
      <sz val="10"/>
      <color theme="1"/>
      <name val="Aptos"/>
      <family val="2"/>
    </font>
    <font>
      <b/>
      <sz val="10"/>
      <name val="Aptos"/>
      <family val="2"/>
    </font>
    <font>
      <b/>
      <sz val="10"/>
      <color rgb="FFC0C0C0"/>
      <name val="DIN Pro"/>
    </font>
    <font>
      <b/>
      <sz val="12"/>
      <color theme="1"/>
      <name val="DIN Pro"/>
    </font>
    <font>
      <b/>
      <sz val="10"/>
      <color rgb="FF00AEEF"/>
      <name val="Aptos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AFEF"/>
      <name val="Arial"/>
      <family val="2"/>
    </font>
    <font>
      <sz val="11"/>
      <color rgb="FF00B0F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C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ptos"/>
      <family val="2"/>
    </font>
    <font>
      <b/>
      <sz val="12"/>
      <color theme="1"/>
      <name val="Calibri"/>
      <family val="2"/>
      <scheme val="minor"/>
    </font>
    <font>
      <sz val="13"/>
      <color theme="1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A5C9EB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/>
    </xf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66" fontId="1" fillId="4" borderId="3" xfId="0" applyNumberFormat="1" applyFont="1" applyFill="1" applyBorder="1" applyAlignment="1">
      <alignment horizontal="center" vertical="center" wrapText="1"/>
    </xf>
    <xf numFmtId="44" fontId="2" fillId="0" borderId="0" xfId="1" applyFont="1" applyAlignment="1">
      <alignment vertical="center"/>
    </xf>
    <xf numFmtId="166" fontId="2" fillId="0" borderId="0" xfId="1" applyNumberFormat="1" applyFont="1" applyAlignment="1">
      <alignment vertical="center"/>
    </xf>
    <xf numFmtId="167" fontId="1" fillId="3" borderId="1" xfId="1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167" fontId="1" fillId="4" borderId="8" xfId="0" applyNumberFormat="1" applyFont="1" applyFill="1" applyBorder="1" applyAlignment="1">
      <alignment horizontal="center" vertical="center" wrapText="1"/>
    </xf>
    <xf numFmtId="167" fontId="1" fillId="5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8" fillId="6" borderId="8" xfId="0" applyNumberFormat="1" applyFont="1" applyFill="1" applyBorder="1" applyAlignment="1">
      <alignment horizontal="center" vertical="center" wrapText="1"/>
    </xf>
    <xf numFmtId="168" fontId="1" fillId="4" borderId="3" xfId="1" applyNumberFormat="1" applyFont="1" applyFill="1" applyBorder="1" applyAlignment="1">
      <alignment horizontal="center" vertical="center" wrapText="1"/>
    </xf>
    <xf numFmtId="168" fontId="1" fillId="3" borderId="1" xfId="1" applyNumberFormat="1" applyFont="1" applyFill="1" applyBorder="1" applyAlignment="1">
      <alignment horizontal="center" vertical="center" wrapText="1"/>
    </xf>
    <xf numFmtId="168" fontId="7" fillId="3" borderId="1" xfId="1" applyNumberFormat="1" applyFont="1" applyFill="1" applyBorder="1" applyAlignment="1">
      <alignment horizontal="center" vertical="center" wrapText="1"/>
    </xf>
    <xf numFmtId="168" fontId="1" fillId="4" borderId="8" xfId="1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9" fontId="1" fillId="4" borderId="3" xfId="0" applyNumberFormat="1" applyFont="1" applyFill="1" applyBorder="1" applyAlignment="1">
      <alignment horizontal="center" vertical="center" wrapText="1"/>
    </xf>
    <xf numFmtId="169" fontId="1" fillId="4" borderId="4" xfId="0" applyNumberFormat="1" applyFont="1" applyFill="1" applyBorder="1" applyAlignment="1">
      <alignment horizontal="center" vertical="center" wrapText="1"/>
    </xf>
    <xf numFmtId="169" fontId="1" fillId="3" borderId="6" xfId="0" applyNumberFormat="1" applyFont="1" applyFill="1" applyBorder="1" applyAlignment="1">
      <alignment horizontal="center" vertical="center" wrapText="1"/>
    </xf>
    <xf numFmtId="169" fontId="7" fillId="3" borderId="6" xfId="0" applyNumberFormat="1" applyFont="1" applyFill="1" applyBorder="1" applyAlignment="1">
      <alignment horizontal="center" vertical="center" wrapText="1"/>
    </xf>
    <xf numFmtId="43" fontId="2" fillId="0" borderId="0" xfId="2" applyFont="1" applyAlignment="1">
      <alignment vertical="center"/>
    </xf>
    <xf numFmtId="43" fontId="3" fillId="6" borderId="3" xfId="2" applyFont="1" applyFill="1" applyBorder="1" applyAlignment="1">
      <alignment horizontal="center" vertical="center" wrapText="1"/>
    </xf>
    <xf numFmtId="43" fontId="3" fillId="6" borderId="4" xfId="2" applyFont="1" applyFill="1" applyBorder="1" applyAlignment="1">
      <alignment horizontal="center" vertical="center" wrapText="1"/>
    </xf>
    <xf numFmtId="43" fontId="3" fillId="6" borderId="8" xfId="2" applyFont="1" applyFill="1" applyBorder="1" applyAlignment="1">
      <alignment horizontal="center" vertical="center" wrapText="1"/>
    </xf>
    <xf numFmtId="43" fontId="3" fillId="2" borderId="11" xfId="2" applyFont="1" applyFill="1" applyBorder="1" applyAlignment="1">
      <alignment horizontal="center" vertical="center" wrapText="1"/>
    </xf>
    <xf numFmtId="43" fontId="3" fillId="2" borderId="12" xfId="2" applyFont="1" applyFill="1" applyBorder="1" applyAlignment="1">
      <alignment horizontal="center" vertical="center" wrapText="1"/>
    </xf>
    <xf numFmtId="43" fontId="1" fillId="4" borderId="3" xfId="2" applyFont="1" applyFill="1" applyBorder="1" applyAlignment="1">
      <alignment horizontal="center" vertical="center" wrapText="1"/>
    </xf>
    <xf numFmtId="43" fontId="1" fillId="4" borderId="4" xfId="2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3" fontId="1" fillId="4" borderId="8" xfId="2" applyFont="1" applyFill="1" applyBorder="1" applyAlignment="1">
      <alignment horizontal="center" vertical="center" wrapText="1"/>
    </xf>
    <xf numFmtId="43" fontId="1" fillId="5" borderId="11" xfId="2" applyFont="1" applyFill="1" applyBorder="1" applyAlignment="1">
      <alignment horizontal="center" vertical="center" wrapText="1"/>
    </xf>
    <xf numFmtId="43" fontId="8" fillId="6" borderId="8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70" fontId="5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70" fontId="7" fillId="3" borderId="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170" fontId="1" fillId="4" borderId="8" xfId="0" applyNumberFormat="1" applyFont="1" applyFill="1" applyBorder="1" applyAlignment="1">
      <alignment horizontal="center" vertical="center" wrapText="1"/>
    </xf>
    <xf numFmtId="8" fontId="5" fillId="3" borderId="1" xfId="0" applyNumberFormat="1" applyFont="1" applyFill="1" applyBorder="1" applyAlignment="1">
      <alignment horizontal="center" vertical="center" wrapText="1"/>
    </xf>
    <xf numFmtId="171" fontId="5" fillId="3" borderId="1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right" vertical="center" wrapText="1"/>
    </xf>
    <xf numFmtId="8" fontId="1" fillId="4" borderId="8" xfId="0" applyNumberFormat="1" applyFont="1" applyFill="1" applyBorder="1" applyAlignment="1">
      <alignment horizontal="center" vertical="center" wrapText="1"/>
    </xf>
    <xf numFmtId="171" fontId="1" fillId="5" borderId="11" xfId="0" applyNumberFormat="1" applyFont="1" applyFill="1" applyBorder="1" applyAlignment="1">
      <alignment horizontal="center" vertical="center" wrapText="1"/>
    </xf>
    <xf numFmtId="171" fontId="3" fillId="2" borderId="11" xfId="0" applyNumberFormat="1" applyFont="1" applyFill="1" applyBorder="1" applyAlignment="1">
      <alignment horizontal="center" vertical="center" wrapText="1"/>
    </xf>
    <xf numFmtId="171" fontId="8" fillId="6" borderId="8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43" fontId="1" fillId="3" borderId="18" xfId="2" applyFont="1" applyFill="1" applyBorder="1" applyAlignment="1">
      <alignment horizontal="center" vertical="center" wrapText="1"/>
    </xf>
    <xf numFmtId="170" fontId="0" fillId="0" borderId="0" xfId="0" applyNumberFormat="1"/>
    <xf numFmtId="3" fontId="0" fillId="0" borderId="0" xfId="0" applyNumberFormat="1"/>
    <xf numFmtId="172" fontId="5" fillId="3" borderId="1" xfId="0" applyNumberFormat="1" applyFont="1" applyFill="1" applyBorder="1" applyAlignment="1">
      <alignment horizontal="center" vertical="center" wrapText="1"/>
    </xf>
    <xf numFmtId="172" fontId="1" fillId="4" borderId="8" xfId="0" applyNumberFormat="1" applyFont="1" applyFill="1" applyBorder="1" applyAlignment="1">
      <alignment horizontal="center" vertical="center" wrapText="1"/>
    </xf>
    <xf numFmtId="172" fontId="1" fillId="4" borderId="3" xfId="0" applyNumberFormat="1" applyFont="1" applyFill="1" applyBorder="1" applyAlignment="1">
      <alignment horizontal="center" vertical="center" wrapText="1"/>
    </xf>
    <xf numFmtId="172" fontId="1" fillId="3" borderId="1" xfId="0" applyNumberFormat="1" applyFont="1" applyFill="1" applyBorder="1" applyAlignment="1">
      <alignment horizontal="center" vertical="center" wrapText="1"/>
    </xf>
    <xf numFmtId="172" fontId="1" fillId="5" borderId="11" xfId="0" applyNumberFormat="1" applyFont="1" applyFill="1" applyBorder="1" applyAlignment="1">
      <alignment horizontal="center" vertical="center" wrapText="1"/>
    </xf>
    <xf numFmtId="172" fontId="3" fillId="2" borderId="11" xfId="0" applyNumberFormat="1" applyFont="1" applyFill="1" applyBorder="1" applyAlignment="1">
      <alignment horizontal="center" vertical="center" wrapText="1"/>
    </xf>
    <xf numFmtId="172" fontId="8" fillId="6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3" fillId="6" borderId="1" xfId="2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1" fillId="4" borderId="1" xfId="2" applyFont="1" applyFill="1" applyBorder="1" applyAlignment="1">
      <alignment horizontal="center" vertical="center" wrapText="1"/>
    </xf>
    <xf numFmtId="43" fontId="1" fillId="5" borderId="1" xfId="2" applyFont="1" applyFill="1" applyBorder="1" applyAlignment="1">
      <alignment horizontal="center" vertical="center" wrapText="1"/>
    </xf>
    <xf numFmtId="43" fontId="8" fillId="6" borderId="1" xfId="2" applyFont="1" applyFill="1" applyBorder="1" applyAlignment="1">
      <alignment horizontal="center" vertical="center" wrapText="1"/>
    </xf>
    <xf numFmtId="173" fontId="7" fillId="3" borderId="1" xfId="1" applyNumberFormat="1" applyFont="1" applyFill="1" applyBorder="1" applyAlignment="1">
      <alignment horizontal="center" vertical="center" wrapText="1"/>
    </xf>
    <xf numFmtId="173" fontId="1" fillId="3" borderId="1" xfId="1" applyNumberFormat="1" applyFont="1" applyFill="1" applyBorder="1" applyAlignment="1">
      <alignment horizontal="center" vertical="center" wrapText="1"/>
    </xf>
    <xf numFmtId="173" fontId="1" fillId="4" borderId="8" xfId="1" applyNumberFormat="1" applyFont="1" applyFill="1" applyBorder="1" applyAlignment="1">
      <alignment horizontal="center" vertical="center" wrapText="1"/>
    </xf>
    <xf numFmtId="173" fontId="1" fillId="5" borderId="11" xfId="1" applyNumberFormat="1" applyFont="1" applyFill="1" applyBorder="1" applyAlignment="1">
      <alignment horizontal="center" vertical="center" wrapText="1"/>
    </xf>
    <xf numFmtId="173" fontId="3" fillId="2" borderId="11" xfId="1" applyNumberFormat="1" applyFont="1" applyFill="1" applyBorder="1" applyAlignment="1">
      <alignment horizontal="center" vertical="center" wrapText="1"/>
    </xf>
    <xf numFmtId="173" fontId="8" fillId="6" borderId="8" xfId="1" applyNumberFormat="1" applyFont="1" applyFill="1" applyBorder="1" applyAlignment="1">
      <alignment horizontal="center" vertical="center" wrapText="1"/>
    </xf>
    <xf numFmtId="174" fontId="7" fillId="3" borderId="1" xfId="0" applyNumberFormat="1" applyFont="1" applyFill="1" applyBorder="1" applyAlignment="1">
      <alignment horizontal="center" vertical="center" wrapText="1"/>
    </xf>
    <xf numFmtId="174" fontId="1" fillId="3" borderId="1" xfId="0" applyNumberFormat="1" applyFont="1" applyFill="1" applyBorder="1" applyAlignment="1">
      <alignment horizontal="center" vertical="center" wrapText="1"/>
    </xf>
    <xf numFmtId="174" fontId="1" fillId="4" borderId="8" xfId="0" applyNumberFormat="1" applyFont="1" applyFill="1" applyBorder="1" applyAlignment="1">
      <alignment horizontal="center" vertical="center" wrapText="1"/>
    </xf>
    <xf numFmtId="174" fontId="1" fillId="5" borderId="11" xfId="0" applyNumberFormat="1" applyFont="1" applyFill="1" applyBorder="1" applyAlignment="1">
      <alignment horizontal="center" vertical="center" wrapText="1"/>
    </xf>
    <xf numFmtId="174" fontId="3" fillId="2" borderId="11" xfId="1" applyNumberFormat="1" applyFont="1" applyFill="1" applyBorder="1" applyAlignment="1">
      <alignment horizontal="center" vertical="center" wrapText="1"/>
    </xf>
    <xf numFmtId="174" fontId="8" fillId="6" borderId="8" xfId="0" applyNumberFormat="1" applyFont="1" applyFill="1" applyBorder="1" applyAlignment="1">
      <alignment horizontal="center" vertical="center" wrapText="1"/>
    </xf>
    <xf numFmtId="174" fontId="1" fillId="3" borderId="6" xfId="0" applyNumberFormat="1" applyFont="1" applyFill="1" applyBorder="1" applyAlignment="1">
      <alignment horizontal="center" vertical="center" wrapText="1"/>
    </xf>
    <xf numFmtId="174" fontId="7" fillId="3" borderId="6" xfId="0" applyNumberFormat="1" applyFont="1" applyFill="1" applyBorder="1" applyAlignment="1">
      <alignment horizontal="center" vertical="center" wrapText="1"/>
    </xf>
    <xf numFmtId="174" fontId="8" fillId="6" borderId="9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23" fillId="8" borderId="0" xfId="0" applyFont="1" applyFill="1" applyAlignment="1">
      <alignment vertical="center" wrapText="1"/>
    </xf>
    <xf numFmtId="173" fontId="2" fillId="0" borderId="0" xfId="0" applyNumberFormat="1" applyFont="1" applyAlignment="1">
      <alignment vertical="center"/>
    </xf>
    <xf numFmtId="0" fontId="3" fillId="8" borderId="20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42" fontId="0" fillId="0" borderId="0" xfId="0" applyNumberFormat="1" applyAlignment="1">
      <alignment wrapText="1"/>
    </xf>
    <xf numFmtId="42" fontId="17" fillId="7" borderId="1" xfId="0" applyNumberFormat="1" applyFont="1" applyFill="1" applyBorder="1" applyAlignment="1">
      <alignment horizontal="center" vertical="center" wrapText="1"/>
    </xf>
    <xf numFmtId="42" fontId="23" fillId="3" borderId="1" xfId="0" applyNumberFormat="1" applyFont="1" applyFill="1" applyBorder="1" applyAlignment="1">
      <alignment horizontal="right" vertical="center" wrapText="1"/>
    </xf>
    <xf numFmtId="42" fontId="23" fillId="3" borderId="19" xfId="0" applyNumberFormat="1" applyFont="1" applyFill="1" applyBorder="1" applyAlignment="1">
      <alignment horizontal="right" vertical="center" wrapText="1"/>
    </xf>
    <xf numFmtId="42" fontId="19" fillId="3" borderId="1" xfId="0" applyNumberFormat="1" applyFont="1" applyFill="1" applyBorder="1" applyAlignment="1">
      <alignment vertical="center" wrapText="1"/>
    </xf>
    <xf numFmtId="42" fontId="19" fillId="9" borderId="1" xfId="0" applyNumberFormat="1" applyFont="1" applyFill="1" applyBorder="1" applyAlignment="1">
      <alignment vertical="center" wrapText="1"/>
    </xf>
    <xf numFmtId="42" fontId="22" fillId="0" borderId="1" xfId="0" applyNumberFormat="1" applyFont="1" applyBorder="1" applyAlignment="1">
      <alignment wrapText="1"/>
    </xf>
    <xf numFmtId="42" fontId="0" fillId="0" borderId="1" xfId="0" applyNumberFormat="1" applyBorder="1" applyAlignment="1">
      <alignment wrapText="1"/>
    </xf>
    <xf numFmtId="42" fontId="22" fillId="0" borderId="22" xfId="0" applyNumberFormat="1" applyFont="1" applyBorder="1" applyAlignment="1">
      <alignment wrapText="1"/>
    </xf>
    <xf numFmtId="42" fontId="23" fillId="3" borderId="22" xfId="0" applyNumberFormat="1" applyFont="1" applyFill="1" applyBorder="1" applyAlignment="1">
      <alignment horizontal="right" vertical="center" wrapText="1"/>
    </xf>
    <xf numFmtId="172" fontId="0" fillId="0" borderId="0" xfId="0" applyNumberFormat="1" applyAlignment="1">
      <alignment wrapText="1"/>
    </xf>
    <xf numFmtId="172" fontId="17" fillId="7" borderId="1" xfId="0" applyNumberFormat="1" applyFont="1" applyFill="1" applyBorder="1" applyAlignment="1">
      <alignment horizontal="center" vertical="center" wrapText="1"/>
    </xf>
    <xf numFmtId="172" fontId="23" fillId="0" borderId="1" xfId="0" applyNumberFormat="1" applyFont="1" applyBorder="1" applyAlignment="1">
      <alignment horizontal="right" vertical="center" wrapText="1"/>
    </xf>
    <xf numFmtId="172" fontId="19" fillId="3" borderId="1" xfId="0" applyNumberFormat="1" applyFont="1" applyFill="1" applyBorder="1" applyAlignment="1">
      <alignment vertical="center" wrapText="1"/>
    </xf>
    <xf numFmtId="172" fontId="19" fillId="9" borderId="1" xfId="0" applyNumberFormat="1" applyFont="1" applyFill="1" applyBorder="1" applyAlignment="1">
      <alignment vertical="center" wrapText="1"/>
    </xf>
    <xf numFmtId="172" fontId="22" fillId="0" borderId="1" xfId="0" applyNumberFormat="1" applyFont="1" applyBorder="1" applyAlignment="1">
      <alignment wrapText="1"/>
    </xf>
    <xf numFmtId="172" fontId="0" fillId="0" borderId="1" xfId="0" applyNumberFormat="1" applyBorder="1" applyAlignment="1">
      <alignment wrapText="1"/>
    </xf>
    <xf numFmtId="42" fontId="17" fillId="7" borderId="1" xfId="0" applyNumberFormat="1" applyFont="1" applyFill="1" applyBorder="1" applyAlignment="1">
      <alignment vertical="center" wrapText="1"/>
    </xf>
    <xf numFmtId="0" fontId="0" fillId="11" borderId="1" xfId="0" applyFill="1" applyBorder="1" applyAlignment="1">
      <alignment wrapText="1"/>
    </xf>
    <xf numFmtId="42" fontId="23" fillId="11" borderId="1" xfId="0" applyNumberFormat="1" applyFont="1" applyFill="1" applyBorder="1" applyAlignment="1">
      <alignment horizontal="center" vertical="center" wrapText="1"/>
    </xf>
    <xf numFmtId="172" fontId="23" fillId="11" borderId="1" xfId="0" applyNumberFormat="1" applyFont="1" applyFill="1" applyBorder="1" applyAlignment="1">
      <alignment horizontal="right" vertical="center" wrapText="1"/>
    </xf>
    <xf numFmtId="42" fontId="23" fillId="11" borderId="19" xfId="0" applyNumberFormat="1" applyFont="1" applyFill="1" applyBorder="1" applyAlignment="1">
      <alignment horizontal="right" vertical="center" wrapText="1"/>
    </xf>
    <xf numFmtId="42" fontId="23" fillId="11" borderId="16" xfId="0" applyNumberFormat="1" applyFont="1" applyFill="1" applyBorder="1" applyAlignment="1">
      <alignment horizontal="right" vertical="center" wrapText="1"/>
    </xf>
    <xf numFmtId="42" fontId="0" fillId="11" borderId="1" xfId="0" applyNumberFormat="1" applyFill="1" applyBorder="1" applyAlignment="1">
      <alignment wrapText="1"/>
    </xf>
    <xf numFmtId="172" fontId="0" fillId="11" borderId="1" xfId="0" applyNumberFormat="1" applyFill="1" applyBorder="1" applyAlignment="1">
      <alignment wrapText="1"/>
    </xf>
    <xf numFmtId="42" fontId="19" fillId="5" borderId="1" xfId="0" applyNumberFormat="1" applyFont="1" applyFill="1" applyBorder="1" applyAlignment="1">
      <alignment vertical="center" wrapText="1"/>
    </xf>
    <xf numFmtId="42" fontId="22" fillId="5" borderId="22" xfId="0" applyNumberFormat="1" applyFont="1" applyFill="1" applyBorder="1" applyAlignment="1">
      <alignment wrapText="1"/>
    </xf>
    <xf numFmtId="42" fontId="0" fillId="5" borderId="1" xfId="0" applyNumberFormat="1" applyFill="1" applyBorder="1" applyAlignment="1">
      <alignment wrapText="1"/>
    </xf>
    <xf numFmtId="172" fontId="0" fillId="5" borderId="1" xfId="0" applyNumberFormat="1" applyFill="1" applyBorder="1" applyAlignment="1">
      <alignment wrapText="1"/>
    </xf>
    <xf numFmtId="0" fontId="3" fillId="12" borderId="11" xfId="0" applyFont="1" applyFill="1" applyBorder="1" applyAlignment="1">
      <alignment horizontal="center" vertical="center" wrapText="1"/>
    </xf>
    <xf numFmtId="42" fontId="22" fillId="12" borderId="1" xfId="0" applyNumberFormat="1" applyFont="1" applyFill="1" applyBorder="1" applyAlignment="1">
      <alignment wrapText="1"/>
    </xf>
    <xf numFmtId="42" fontId="22" fillId="12" borderId="22" xfId="0" applyNumberFormat="1" applyFont="1" applyFill="1" applyBorder="1" applyAlignment="1">
      <alignment wrapText="1"/>
    </xf>
    <xf numFmtId="42" fontId="0" fillId="12" borderId="1" xfId="0" applyNumberFormat="1" applyFill="1" applyBorder="1" applyAlignment="1">
      <alignment wrapText="1"/>
    </xf>
    <xf numFmtId="172" fontId="0" fillId="12" borderId="1" xfId="0" applyNumberFormat="1" applyFill="1" applyBorder="1" applyAlignment="1">
      <alignment wrapText="1"/>
    </xf>
    <xf numFmtId="0" fontId="3" fillId="13" borderId="1" xfId="0" applyFont="1" applyFill="1" applyBorder="1" applyAlignment="1">
      <alignment horizontal="center" vertical="center" wrapText="1"/>
    </xf>
    <xf numFmtId="42" fontId="22" fillId="13" borderId="1" xfId="0" applyNumberFormat="1" applyFont="1" applyFill="1" applyBorder="1" applyAlignment="1">
      <alignment wrapText="1"/>
    </xf>
    <xf numFmtId="172" fontId="22" fillId="13" borderId="1" xfId="0" applyNumberFormat="1" applyFont="1" applyFill="1" applyBorder="1" applyAlignment="1">
      <alignment wrapText="1"/>
    </xf>
    <xf numFmtId="42" fontId="22" fillId="13" borderId="22" xfId="0" applyNumberFormat="1" applyFont="1" applyFill="1" applyBorder="1" applyAlignment="1">
      <alignment wrapText="1"/>
    </xf>
    <xf numFmtId="42" fontId="0" fillId="13" borderId="1" xfId="0" applyNumberFormat="1" applyFill="1" applyBorder="1" applyAlignment="1">
      <alignment wrapText="1"/>
    </xf>
    <xf numFmtId="172" fontId="0" fillId="13" borderId="1" xfId="0" applyNumberFormat="1" applyFill="1" applyBorder="1" applyAlignment="1">
      <alignment wrapText="1"/>
    </xf>
    <xf numFmtId="0" fontId="3" fillId="14" borderId="22" xfId="0" applyFont="1" applyFill="1" applyBorder="1" applyAlignment="1">
      <alignment horizontal="center" vertical="center" wrapText="1"/>
    </xf>
    <xf numFmtId="42" fontId="0" fillId="14" borderId="1" xfId="0" applyNumberFormat="1" applyFill="1" applyBorder="1" applyAlignment="1">
      <alignment wrapText="1"/>
    </xf>
    <xf numFmtId="172" fontId="0" fillId="14" borderId="1" xfId="0" applyNumberFormat="1" applyFill="1" applyBorder="1" applyAlignment="1">
      <alignment wrapText="1"/>
    </xf>
    <xf numFmtId="42" fontId="0" fillId="14" borderId="22" xfId="0" applyNumberFormat="1" applyFill="1" applyBorder="1" applyAlignment="1">
      <alignment wrapText="1"/>
    </xf>
    <xf numFmtId="0" fontId="17" fillId="14" borderId="22" xfId="0" applyFont="1" applyFill="1" applyBorder="1" applyAlignment="1">
      <alignment horizontal="left" vertical="center" wrapText="1"/>
    </xf>
    <xf numFmtId="0" fontId="17" fillId="14" borderId="22" xfId="0" applyFont="1" applyFill="1" applyBorder="1" applyAlignment="1">
      <alignment horizontal="center" vertical="center" wrapText="1"/>
    </xf>
    <xf numFmtId="172" fontId="22" fillId="15" borderId="1" xfId="0" applyNumberFormat="1" applyFont="1" applyFill="1" applyBorder="1" applyAlignment="1">
      <alignment wrapText="1"/>
    </xf>
    <xf numFmtId="172" fontId="22" fillId="14" borderId="1" xfId="0" applyNumberFormat="1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7" fillId="7" borderId="1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wrapText="1"/>
    </xf>
    <xf numFmtId="0" fontId="0" fillId="10" borderId="28" xfId="0" applyFill="1" applyBorder="1" applyAlignment="1">
      <alignment horizontal="center" wrapText="1"/>
    </xf>
    <xf numFmtId="0" fontId="0" fillId="10" borderId="27" xfId="0" applyFill="1" applyBorder="1" applyAlignment="1">
      <alignment horizontal="center" wrapText="1"/>
    </xf>
    <xf numFmtId="0" fontId="21" fillId="0" borderId="25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24" fillId="0" borderId="22" xfId="0" applyFont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top" wrapText="1"/>
    </xf>
    <xf numFmtId="0" fontId="24" fillId="0" borderId="21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0" borderId="20" xfId="0" applyFont="1" applyBorder="1" applyAlignment="1">
      <alignment horizontal="center" vertical="top" wrapText="1"/>
    </xf>
    <xf numFmtId="0" fontId="24" fillId="0" borderId="25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right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AEEF"/>
      <color rgb="FFC0C0C0"/>
      <color rgb="FFBDD6EE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C259-901D-49A9-9491-CD2920D004C7}">
  <dimension ref="F3:M39"/>
  <sheetViews>
    <sheetView tabSelected="1" topLeftCell="E9" zoomScale="122" zoomScaleNormal="122" workbookViewId="0">
      <selection activeCell="K5" sqref="K5"/>
    </sheetView>
  </sheetViews>
  <sheetFormatPr defaultRowHeight="14.4"/>
  <cols>
    <col min="1" max="5" width="8.88671875" style="22"/>
    <col min="6" max="6" width="40.6640625" style="22" customWidth="1"/>
    <col min="7" max="7" width="15.33203125" style="127" customWidth="1"/>
    <col min="8" max="8" width="14.5546875" style="137" customWidth="1"/>
    <col min="9" max="9" width="2.6640625" style="22" customWidth="1"/>
    <col min="10" max="10" width="13.109375" style="127" customWidth="1"/>
    <col min="11" max="11" width="13.77734375" style="127" customWidth="1"/>
    <col min="12" max="12" width="15.77734375" style="127" customWidth="1"/>
    <col min="13" max="13" width="17.6640625" style="137" customWidth="1"/>
    <col min="14" max="16384" width="8.88671875" style="22"/>
  </cols>
  <sheetData>
    <row r="3" spans="6:13" ht="17.399999999999999">
      <c r="F3" s="175" t="s">
        <v>92</v>
      </c>
      <c r="G3" s="175"/>
      <c r="H3" s="175"/>
      <c r="I3" s="175"/>
      <c r="J3" s="175"/>
      <c r="K3" s="175"/>
      <c r="L3" s="175"/>
      <c r="M3" s="175"/>
    </row>
    <row r="5" spans="6:13" ht="43.2" customHeight="1">
      <c r="M5" s="22">
        <v>0.86499999999999999</v>
      </c>
    </row>
    <row r="6" spans="6:13" ht="26.4">
      <c r="F6" s="178" t="s">
        <v>82</v>
      </c>
      <c r="G6" s="128" t="s">
        <v>5</v>
      </c>
      <c r="H6" s="138" t="s">
        <v>94</v>
      </c>
      <c r="I6" s="182"/>
      <c r="J6" s="128" t="s">
        <v>79</v>
      </c>
      <c r="K6" s="144" t="s">
        <v>90</v>
      </c>
      <c r="L6" s="128" t="s">
        <v>89</v>
      </c>
      <c r="M6" s="138" t="s">
        <v>93</v>
      </c>
    </row>
    <row r="7" spans="6:13">
      <c r="F7" s="178"/>
      <c r="G7" s="128" t="s">
        <v>10</v>
      </c>
      <c r="H7" s="138" t="s">
        <v>75</v>
      </c>
      <c r="I7" s="183"/>
      <c r="J7" s="128" t="s">
        <v>10</v>
      </c>
      <c r="K7" s="144" t="s">
        <v>10</v>
      </c>
      <c r="L7" s="128" t="s">
        <v>10</v>
      </c>
      <c r="M7" s="138" t="s">
        <v>75</v>
      </c>
    </row>
    <row r="8" spans="6:13" ht="24" customHeight="1">
      <c r="F8" s="188" t="s">
        <v>83</v>
      </c>
      <c r="G8" s="189"/>
      <c r="H8" s="189"/>
      <c r="I8" s="189"/>
      <c r="J8" s="189"/>
      <c r="K8" s="189"/>
      <c r="L8" s="189"/>
      <c r="M8" s="190"/>
    </row>
    <row r="9" spans="6:13" ht="27" customHeight="1">
      <c r="F9" s="120" t="s">
        <v>76</v>
      </c>
      <c r="G9" s="129">
        <v>6249023.5899999999</v>
      </c>
      <c r="H9" s="139">
        <f>G9*$M$5</f>
        <v>5405405.4053499997</v>
      </c>
      <c r="I9" s="182"/>
      <c r="J9" s="129">
        <v>3645263.76</v>
      </c>
      <c r="K9" s="136">
        <v>2603759.83</v>
      </c>
      <c r="L9" s="134">
        <f>J9+K9</f>
        <v>6249023.5899999999</v>
      </c>
      <c r="M9" s="143">
        <f>L9*$M$5</f>
        <v>5405405.4053499997</v>
      </c>
    </row>
    <row r="10" spans="6:13" ht="25.2" customHeight="1" thickBot="1">
      <c r="F10" s="121" t="s">
        <v>77</v>
      </c>
      <c r="G10" s="130">
        <v>1041503.93</v>
      </c>
      <c r="H10" s="139">
        <f>G10*$M$5</f>
        <v>900900.89945000003</v>
      </c>
      <c r="I10" s="184"/>
      <c r="J10" s="129">
        <v>1041503.93</v>
      </c>
      <c r="K10" s="136">
        <v>0</v>
      </c>
      <c r="L10" s="134">
        <f t="shared" ref="L10:L24" si="0">J10+K10</f>
        <v>1041503.93</v>
      </c>
      <c r="M10" s="143">
        <f t="shared" ref="M10:M11" si="1">L10*$M$5</f>
        <v>900900.89945000003</v>
      </c>
    </row>
    <row r="11" spans="6:13" ht="15" thickBot="1">
      <c r="F11" s="145" t="s">
        <v>78</v>
      </c>
      <c r="G11" s="146">
        <v>7290527.5199999996</v>
      </c>
      <c r="H11" s="147">
        <f>SUM(H9:H10)</f>
        <v>6306306.3048</v>
      </c>
      <c r="I11" s="183"/>
      <c r="J11" s="148">
        <f>SUM(J9:J10)</f>
        <v>4686767.6899999995</v>
      </c>
      <c r="K11" s="149">
        <f>K9+K10</f>
        <v>2603759.83</v>
      </c>
      <c r="L11" s="150">
        <f t="shared" si="0"/>
        <v>7290527.5199999996</v>
      </c>
      <c r="M11" s="151">
        <f t="shared" si="1"/>
        <v>6306306.3047999991</v>
      </c>
    </row>
    <row r="12" spans="6:13" ht="30.6" customHeight="1">
      <c r="F12" s="185" t="s">
        <v>84</v>
      </c>
      <c r="G12" s="186"/>
      <c r="H12" s="186"/>
      <c r="I12" s="186"/>
      <c r="J12" s="186"/>
      <c r="K12" s="186"/>
      <c r="L12" s="186"/>
      <c r="M12" s="187"/>
    </row>
    <row r="13" spans="6:13">
      <c r="F13" s="120" t="s">
        <v>80</v>
      </c>
      <c r="G13" s="131">
        <v>846777.59999999963</v>
      </c>
      <c r="H13" s="140">
        <f>G13*0.865</f>
        <v>732462.62399999972</v>
      </c>
      <c r="I13" s="123"/>
      <c r="J13" s="131">
        <v>846777.59999999963</v>
      </c>
      <c r="K13" s="135">
        <v>0</v>
      </c>
      <c r="L13" s="134">
        <f t="shared" si="0"/>
        <v>846777.59999999963</v>
      </c>
      <c r="M13" s="143">
        <f>L13*$M$5</f>
        <v>732462.62399999972</v>
      </c>
    </row>
    <row r="14" spans="6:13">
      <c r="F14" s="120" t="s">
        <v>81</v>
      </c>
      <c r="G14" s="131">
        <v>194726.35</v>
      </c>
      <c r="H14" s="140">
        <f>G14*0.865</f>
        <v>168438.29274999999</v>
      </c>
      <c r="I14" s="123"/>
      <c r="J14" s="131">
        <v>194726.35</v>
      </c>
      <c r="K14" s="135">
        <v>0</v>
      </c>
      <c r="L14" s="134">
        <f t="shared" si="0"/>
        <v>194726.35</v>
      </c>
      <c r="M14" s="143">
        <f t="shared" ref="M14:M15" si="2">L14*$M$5</f>
        <v>168438.29274999999</v>
      </c>
    </row>
    <row r="15" spans="6:13" ht="46.2" customHeight="1">
      <c r="F15" s="122" t="s">
        <v>78</v>
      </c>
      <c r="G15" s="132">
        <f>G13+G14</f>
        <v>1041503.9499999996</v>
      </c>
      <c r="H15" s="141">
        <f>SUM(H13:H14)</f>
        <v>900900.91674999974</v>
      </c>
      <c r="I15" s="123"/>
      <c r="J15" s="152">
        <f>J13+J14</f>
        <v>1041503.9499999996</v>
      </c>
      <c r="K15" s="153">
        <v>0</v>
      </c>
      <c r="L15" s="154">
        <f t="shared" si="0"/>
        <v>1041503.9499999996</v>
      </c>
      <c r="M15" s="155">
        <f t="shared" si="2"/>
        <v>900900.91674999963</v>
      </c>
    </row>
    <row r="16" spans="6:13" ht="41.4" customHeight="1">
      <c r="F16" s="191" t="s">
        <v>86</v>
      </c>
      <c r="G16" s="192"/>
      <c r="H16" s="192"/>
      <c r="I16" s="192"/>
      <c r="J16" s="192"/>
      <c r="K16" s="192"/>
      <c r="L16" s="192"/>
      <c r="M16" s="193"/>
    </row>
    <row r="17" spans="6:13" ht="28.2" thickBot="1">
      <c r="F17" s="7" t="s">
        <v>29</v>
      </c>
      <c r="G17" s="133">
        <v>520751.96892000001</v>
      </c>
      <c r="H17" s="142">
        <f>G17*$M$5</f>
        <v>450450.45311579999</v>
      </c>
      <c r="I17" s="125"/>
      <c r="J17" s="133">
        <v>260375.98446000001</v>
      </c>
      <c r="K17" s="135">
        <f>G17/2</f>
        <v>260375.98446000001</v>
      </c>
      <c r="L17" s="134">
        <f t="shared" si="0"/>
        <v>520751.96892000001</v>
      </c>
      <c r="M17" s="143">
        <f>L17*$M$5</f>
        <v>450450.45311579999</v>
      </c>
    </row>
    <row r="18" spans="6:13" ht="15" thickBot="1">
      <c r="F18" s="156" t="s">
        <v>25</v>
      </c>
      <c r="G18" s="157">
        <f>SUM(G17)</f>
        <v>520751.96892000001</v>
      </c>
      <c r="H18" s="173">
        <f>G18*$M$5</f>
        <v>450450.45311579999</v>
      </c>
      <c r="I18" s="125"/>
      <c r="J18" s="157">
        <f>SUM(J17)</f>
        <v>260375.98446000001</v>
      </c>
      <c r="K18" s="158">
        <f>SUM(K17)</f>
        <v>260375.98446000001</v>
      </c>
      <c r="L18" s="159">
        <f t="shared" si="0"/>
        <v>520751.96892000001</v>
      </c>
      <c r="M18" s="160">
        <f>L18*$M$5</f>
        <v>450450.45311579999</v>
      </c>
    </row>
    <row r="19" spans="6:13" ht="14.4" customHeight="1">
      <c r="F19" s="194" t="s">
        <v>85</v>
      </c>
      <c r="G19" s="195"/>
      <c r="H19" s="195"/>
      <c r="I19" s="195"/>
      <c r="J19" s="195"/>
      <c r="K19" s="195"/>
      <c r="L19" s="195"/>
      <c r="M19" s="196"/>
    </row>
    <row r="20" spans="6:13" ht="9.6" customHeight="1">
      <c r="F20" s="197"/>
      <c r="G20" s="198"/>
      <c r="H20" s="198"/>
      <c r="I20" s="198"/>
      <c r="J20" s="198"/>
      <c r="K20" s="198"/>
      <c r="L20" s="198"/>
      <c r="M20" s="199"/>
    </row>
    <row r="21" spans="6:13" ht="27.6">
      <c r="F21" s="7" t="s">
        <v>29</v>
      </c>
      <c r="G21" s="133">
        <v>520751.96892000001</v>
      </c>
      <c r="H21" s="142">
        <f>G21*$M$5</f>
        <v>450450.45311579999</v>
      </c>
      <c r="I21" s="126"/>
      <c r="J21" s="133">
        <v>260375.98446000001</v>
      </c>
      <c r="K21" s="135">
        <f>G21/2</f>
        <v>260375.98446000001</v>
      </c>
      <c r="L21" s="134">
        <f t="shared" si="0"/>
        <v>520751.96892000001</v>
      </c>
      <c r="M21" s="143">
        <f>L21*$M$5</f>
        <v>450450.45311579999</v>
      </c>
    </row>
    <row r="22" spans="6:13" ht="24" customHeight="1">
      <c r="F22" s="161" t="s">
        <v>25</v>
      </c>
      <c r="G22" s="162">
        <f>SUM(G21)</f>
        <v>520751.96892000001</v>
      </c>
      <c r="H22" s="163">
        <f t="shared" ref="H22:H25" si="3">G22*$M$5</f>
        <v>450450.45311579999</v>
      </c>
      <c r="I22" s="179"/>
      <c r="J22" s="162">
        <f>SUM(J21)</f>
        <v>260375.98446000001</v>
      </c>
      <c r="K22" s="164">
        <f>SUM(K21)</f>
        <v>260375.98446000001</v>
      </c>
      <c r="L22" s="165">
        <f t="shared" si="0"/>
        <v>520751.96892000001</v>
      </c>
      <c r="M22" s="166">
        <f t="shared" ref="M22:M25" si="4">L22*$M$5</f>
        <v>450450.45311579999</v>
      </c>
    </row>
    <row r="23" spans="6:13" ht="27.6">
      <c r="F23" s="167" t="s">
        <v>87</v>
      </c>
      <c r="G23" s="168">
        <f>G11+G15+G18+G22</f>
        <v>9373535.4078399986</v>
      </c>
      <c r="H23" s="174">
        <f t="shared" si="3"/>
        <v>8108108.1277815988</v>
      </c>
      <c r="I23" s="180"/>
      <c r="J23" s="168">
        <f>J11+J15+J18+J22</f>
        <v>6249023.6089199986</v>
      </c>
      <c r="K23" s="170">
        <f>K11+K15+K18+K22</f>
        <v>3124511.79892</v>
      </c>
      <c r="L23" s="168">
        <f t="shared" si="0"/>
        <v>9373535.4078399986</v>
      </c>
      <c r="M23" s="169">
        <f t="shared" si="4"/>
        <v>8108108.1277815988</v>
      </c>
    </row>
    <row r="24" spans="6:13">
      <c r="F24" s="171" t="s">
        <v>88</v>
      </c>
      <c r="G24" s="168">
        <f>G23*11%</f>
        <v>1031088.8948623999</v>
      </c>
      <c r="H24" s="174">
        <f t="shared" si="3"/>
        <v>891891.89405597595</v>
      </c>
      <c r="I24" s="180"/>
      <c r="J24" s="168">
        <f>J23*11%</f>
        <v>687392.59698119981</v>
      </c>
      <c r="K24" s="170">
        <f>K23*11%</f>
        <v>343696.29788119998</v>
      </c>
      <c r="L24" s="168">
        <f t="shared" si="0"/>
        <v>1031088.8948623998</v>
      </c>
      <c r="M24" s="169">
        <f t="shared" si="4"/>
        <v>891891.89405597583</v>
      </c>
    </row>
    <row r="25" spans="6:13" ht="35.4" customHeight="1">
      <c r="F25" s="172" t="s">
        <v>91</v>
      </c>
      <c r="G25" s="168">
        <f>SUM(G23:G24)</f>
        <v>10404624.302702399</v>
      </c>
      <c r="H25" s="174">
        <f t="shared" si="3"/>
        <v>9000000.0218375754</v>
      </c>
      <c r="I25" s="181"/>
      <c r="J25" s="168">
        <f>SUM(J23:J24)</f>
        <v>6936416.2059011981</v>
      </c>
      <c r="K25" s="170">
        <f>SUM(K23:K24)</f>
        <v>3468208.0968012</v>
      </c>
      <c r="L25" s="168">
        <f>J25+K25</f>
        <v>10404624.302702397</v>
      </c>
      <c r="M25" s="169">
        <f t="shared" si="4"/>
        <v>9000000.0218375735</v>
      </c>
    </row>
    <row r="26" spans="6:13" ht="14.4" customHeight="1"/>
    <row r="27" spans="6:13" ht="42" customHeight="1">
      <c r="F27" s="176" t="s">
        <v>66</v>
      </c>
      <c r="G27" s="176"/>
      <c r="H27" s="176"/>
      <c r="I27" s="176"/>
      <c r="J27" s="176"/>
      <c r="K27" s="176"/>
    </row>
    <row r="28" spans="6:13" ht="40.200000000000003" customHeight="1">
      <c r="F28" s="177"/>
      <c r="G28" s="177"/>
      <c r="H28" s="177"/>
      <c r="I28" s="177"/>
      <c r="J28" s="177"/>
      <c r="K28" s="177"/>
    </row>
    <row r="35" ht="14.4" customHeight="1"/>
    <row r="39" ht="37.200000000000003" customHeight="1"/>
  </sheetData>
  <mergeCells count="11">
    <mergeCell ref="F3:M3"/>
    <mergeCell ref="F27:K27"/>
    <mergeCell ref="F28:K28"/>
    <mergeCell ref="F6:F7"/>
    <mergeCell ref="I22:I25"/>
    <mergeCell ref="I6:I7"/>
    <mergeCell ref="I9:I11"/>
    <mergeCell ref="F12:M12"/>
    <mergeCell ref="F8:M8"/>
    <mergeCell ref="F16:M16"/>
    <mergeCell ref="F19:M20"/>
  </mergeCells>
  <pageMargins left="0.7" right="0.7" top="0.75" bottom="0.75" header="0.3" footer="0.3"/>
  <pageSetup scale="50" orientation="portrait" horizontalDpi="1200" verticalDpi="120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A20E-B95A-4966-B093-014B1C492670}">
  <dimension ref="A1:M25"/>
  <sheetViews>
    <sheetView topLeftCell="B1" zoomScale="89" zoomScaleNormal="89" workbookViewId="0">
      <selection activeCell="B18" sqref="B18:G19"/>
    </sheetView>
  </sheetViews>
  <sheetFormatPr defaultColWidth="9.109375" defaultRowHeight="13.8"/>
  <cols>
    <col min="1" max="1" width="6.5546875" style="21" customWidth="1"/>
    <col min="2" max="2" width="50.88671875" style="1" customWidth="1"/>
    <col min="3" max="3" width="14" style="1" customWidth="1"/>
    <col min="4" max="4" width="11.6640625" style="1" customWidth="1"/>
    <col min="5" max="5" width="16.33203125" style="1" customWidth="1"/>
    <col min="6" max="6" width="11.6640625" style="1" customWidth="1"/>
    <col min="7" max="7" width="21.109375" style="1" bestFit="1" customWidth="1"/>
    <col min="8" max="8" width="19.6640625" style="1" bestFit="1" customWidth="1"/>
    <col min="9" max="9" width="19" style="1" customWidth="1"/>
    <col min="10" max="10" width="18.6640625" style="1" bestFit="1" customWidth="1"/>
    <col min="11" max="11" width="18.6640625" style="1" customWidth="1"/>
    <col min="12" max="12" width="19.6640625" style="1" bestFit="1" customWidth="1"/>
    <col min="13" max="13" width="43.6640625" style="1" customWidth="1"/>
    <col min="14" max="16384" width="9.109375" style="1"/>
  </cols>
  <sheetData>
    <row r="1" spans="1:13" customFormat="1" ht="15" customHeight="1">
      <c r="A1" s="200" t="s">
        <v>0</v>
      </c>
      <c r="B1" s="200"/>
      <c r="C1" s="200"/>
      <c r="D1" s="22"/>
    </row>
    <row r="2" spans="1:13" customFormat="1" ht="15" customHeight="1">
      <c r="A2" s="201" t="s">
        <v>69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ht="15" customHeight="1">
      <c r="A3" s="204"/>
      <c r="B3" s="204"/>
      <c r="I3" s="209" t="s">
        <v>1</v>
      </c>
      <c r="J3" s="209"/>
      <c r="K3" s="209"/>
      <c r="L3" s="209"/>
      <c r="M3" s="33">
        <v>0.86499999999999999</v>
      </c>
    </row>
    <row r="4" spans="1:13" ht="27.6">
      <c r="A4" s="205" t="s">
        <v>2</v>
      </c>
      <c r="B4" s="207"/>
      <c r="C4" s="205" t="s">
        <v>3</v>
      </c>
      <c r="D4" s="207" t="s">
        <v>4</v>
      </c>
      <c r="E4" s="23" t="s">
        <v>73</v>
      </c>
      <c r="F4" s="23" t="s">
        <v>73</v>
      </c>
      <c r="G4" s="23" t="s">
        <v>5</v>
      </c>
      <c r="H4" s="23" t="s">
        <v>5</v>
      </c>
      <c r="I4" s="23" t="s">
        <v>6</v>
      </c>
      <c r="J4" s="23" t="s">
        <v>7</v>
      </c>
      <c r="K4" s="23" t="s">
        <v>8</v>
      </c>
      <c r="L4" s="24" t="s">
        <v>8</v>
      </c>
      <c r="M4" s="202" t="s">
        <v>9</v>
      </c>
    </row>
    <row r="5" spans="1:13" ht="45" customHeight="1" thickBot="1">
      <c r="A5" s="206"/>
      <c r="B5" s="208"/>
      <c r="C5" s="206"/>
      <c r="D5" s="208"/>
      <c r="E5" s="25" t="s">
        <v>10</v>
      </c>
      <c r="F5" s="25" t="s">
        <v>68</v>
      </c>
      <c r="G5" s="25" t="s">
        <v>10</v>
      </c>
      <c r="H5" s="25" t="s">
        <v>68</v>
      </c>
      <c r="I5" s="25" t="s">
        <v>11</v>
      </c>
      <c r="J5" s="25" t="s">
        <v>68</v>
      </c>
      <c r="K5" s="25" t="s">
        <v>12</v>
      </c>
      <c r="L5" s="25" t="s">
        <v>68</v>
      </c>
      <c r="M5" s="203"/>
    </row>
    <row r="6" spans="1:13" ht="21.75" customHeight="1" thickBot="1">
      <c r="A6" s="2" t="s">
        <v>13</v>
      </c>
      <c r="B6" s="3" t="s">
        <v>14</v>
      </c>
      <c r="C6" s="3"/>
      <c r="D6" s="3"/>
      <c r="E6" s="3"/>
      <c r="F6" s="3"/>
      <c r="G6" s="3"/>
      <c r="H6" s="3"/>
      <c r="I6" s="3"/>
      <c r="J6" s="3"/>
      <c r="K6" s="3"/>
      <c r="L6" s="4"/>
      <c r="M6" s="4"/>
    </row>
    <row r="7" spans="1:13">
      <c r="A7" s="27">
        <v>1</v>
      </c>
      <c r="B7" s="26" t="s">
        <v>15</v>
      </c>
      <c r="C7" s="5"/>
      <c r="D7" s="5"/>
      <c r="E7" s="49"/>
      <c r="F7" s="39"/>
      <c r="G7" s="39"/>
      <c r="H7" s="39"/>
      <c r="I7" s="39"/>
      <c r="J7" s="54"/>
      <c r="K7" s="49"/>
      <c r="L7" s="55"/>
      <c r="M7" s="36"/>
    </row>
    <row r="8" spans="1:13">
      <c r="A8" s="6">
        <v>1.1000000000000001</v>
      </c>
      <c r="B8" s="7" t="s">
        <v>16</v>
      </c>
      <c r="C8" s="8"/>
      <c r="D8" s="8"/>
      <c r="E8" s="50"/>
      <c r="F8" s="43"/>
      <c r="G8" s="42"/>
      <c r="H8" s="53"/>
      <c r="I8" s="42"/>
      <c r="J8" s="53"/>
      <c r="K8" s="50"/>
      <c r="L8" s="56"/>
      <c r="M8" s="37"/>
    </row>
    <row r="9" spans="1:13" s="12" customFormat="1">
      <c r="A9" s="9" t="s">
        <v>17</v>
      </c>
      <c r="B9" s="10" t="s">
        <v>18</v>
      </c>
      <c r="C9" s="11" t="s">
        <v>19</v>
      </c>
      <c r="D9" s="35">
        <v>2120</v>
      </c>
      <c r="E9" s="51">
        <v>1719.4640364270899</v>
      </c>
      <c r="F9" s="44">
        <f>E9*$M$3</f>
        <v>1487.3363915094328</v>
      </c>
      <c r="G9" s="105">
        <f>D9*E9</f>
        <v>3645263.7572254306</v>
      </c>
      <c r="H9" s="111">
        <f>D9*F9</f>
        <v>3153153.1499999976</v>
      </c>
      <c r="I9" s="105">
        <f>G9</f>
        <v>3645263.7572254306</v>
      </c>
      <c r="J9" s="111">
        <f>H9</f>
        <v>3153153.1499999976</v>
      </c>
      <c r="K9" s="51"/>
      <c r="L9" s="57"/>
      <c r="M9" s="38" t="s">
        <v>20</v>
      </c>
    </row>
    <row r="10" spans="1:13" s="12" customFormat="1">
      <c r="A10" s="9" t="s">
        <v>21</v>
      </c>
      <c r="B10" s="10" t="s">
        <v>18</v>
      </c>
      <c r="C10" s="11" t="s">
        <v>19</v>
      </c>
      <c r="D10" s="35">
        <v>1514</v>
      </c>
      <c r="E10" s="51">
        <v>1719.7885265477901</v>
      </c>
      <c r="F10" s="44">
        <f>E10*$M$3</f>
        <v>1487.6170754638383</v>
      </c>
      <c r="G10" s="105">
        <f>D10*E10</f>
        <v>2603759.8291933541</v>
      </c>
      <c r="H10" s="111">
        <f>D10*F10</f>
        <v>2252252.2522522514</v>
      </c>
      <c r="I10" s="105">
        <v>0</v>
      </c>
      <c r="J10" s="111">
        <v>0</v>
      </c>
      <c r="K10" s="111">
        <f>G10</f>
        <v>2603759.8291933541</v>
      </c>
      <c r="L10" s="111">
        <f>H10</f>
        <v>2252252.2522522514</v>
      </c>
      <c r="M10" s="38"/>
    </row>
    <row r="11" spans="1:13">
      <c r="A11" s="6">
        <v>1.2</v>
      </c>
      <c r="B11" s="7" t="s">
        <v>22</v>
      </c>
      <c r="C11" s="8"/>
      <c r="D11" s="34"/>
      <c r="E11" s="50"/>
      <c r="F11" s="43"/>
      <c r="G11" s="106"/>
      <c r="H11" s="112"/>
      <c r="I11" s="106"/>
      <c r="J11" s="112"/>
      <c r="K11" s="111"/>
      <c r="L11" s="117"/>
      <c r="M11" s="37"/>
    </row>
    <row r="12" spans="1:13" s="12" customFormat="1">
      <c r="A12" s="9" t="s">
        <v>23</v>
      </c>
      <c r="B12" s="10" t="s">
        <v>18</v>
      </c>
      <c r="C12" s="11" t="s">
        <v>19</v>
      </c>
      <c r="D12" s="35">
        <v>619</v>
      </c>
      <c r="E12" s="51">
        <v>1682.5588556984526</v>
      </c>
      <c r="F12" s="44">
        <f>E12*$M$3</f>
        <v>1455.4134101791615</v>
      </c>
      <c r="G12" s="105">
        <f>D12*E12</f>
        <v>1041503.9316773422</v>
      </c>
      <c r="H12" s="111">
        <f>D12*F12</f>
        <v>900900.90090090095</v>
      </c>
      <c r="I12" s="105">
        <f>G12</f>
        <v>1041503.9316773422</v>
      </c>
      <c r="J12" s="111">
        <f>H12</f>
        <v>900900.90090090095</v>
      </c>
      <c r="K12" s="112"/>
      <c r="L12" s="118"/>
      <c r="M12" s="38" t="s">
        <v>20</v>
      </c>
    </row>
    <row r="13" spans="1:13" s="17" customFormat="1" ht="14.4" thickBot="1">
      <c r="A13" s="13"/>
      <c r="B13" s="14" t="s">
        <v>24</v>
      </c>
      <c r="C13" s="15"/>
      <c r="D13" s="15"/>
      <c r="E13" s="52"/>
      <c r="F13" s="45"/>
      <c r="G13" s="107">
        <f>SUM(G8:G12)</f>
        <v>7290527.5180961275</v>
      </c>
      <c r="H13" s="113">
        <f t="shared" ref="H13:L13" si="0">SUM(H8:H12)</f>
        <v>6306306.3031531507</v>
      </c>
      <c r="I13" s="107">
        <f t="shared" si="0"/>
        <v>4686767.688902773</v>
      </c>
      <c r="J13" s="113">
        <f t="shared" si="0"/>
        <v>4054054.0509008984</v>
      </c>
      <c r="K13" s="111">
        <f t="shared" si="0"/>
        <v>2603759.8291933541</v>
      </c>
      <c r="L13" s="113">
        <f t="shared" si="0"/>
        <v>2252252.2522522514</v>
      </c>
      <c r="M13" s="16"/>
    </row>
    <row r="14" spans="1:13" ht="14.4" thickBot="1">
      <c r="A14" s="32" t="s">
        <v>13</v>
      </c>
      <c r="B14" s="18" t="s">
        <v>25</v>
      </c>
      <c r="C14" s="19"/>
      <c r="D14" s="19"/>
      <c r="E14" s="46"/>
      <c r="F14" s="46"/>
      <c r="G14" s="108">
        <f>G13</f>
        <v>7290527.5180961275</v>
      </c>
      <c r="H14" s="114">
        <f t="shared" ref="H14:L14" si="1">H13</f>
        <v>6306306.3031531507</v>
      </c>
      <c r="I14" s="108">
        <f t="shared" si="1"/>
        <v>4686767.688902773</v>
      </c>
      <c r="J14" s="114">
        <f t="shared" si="1"/>
        <v>4054054.0509008984</v>
      </c>
      <c r="K14" s="113">
        <f t="shared" si="1"/>
        <v>2603759.8291933541</v>
      </c>
      <c r="L14" s="114">
        <f t="shared" si="1"/>
        <v>2252252.2522522514</v>
      </c>
      <c r="M14" s="20"/>
    </row>
    <row r="15" spans="1:13" ht="21" customHeight="1" thickBot="1">
      <c r="A15" s="2" t="s">
        <v>26</v>
      </c>
      <c r="B15" s="3" t="s">
        <v>27</v>
      </c>
      <c r="C15" s="3"/>
      <c r="D15" s="3"/>
      <c r="E15" s="47"/>
      <c r="F15" s="47"/>
      <c r="G15" s="109">
        <f>G14*0.11</f>
        <v>801958.02699057409</v>
      </c>
      <c r="H15" s="115">
        <f t="shared" ref="H15:L15" si="2">H14*0.11</f>
        <v>693693.69334684662</v>
      </c>
      <c r="I15" s="109">
        <f t="shared" si="2"/>
        <v>515544.44577930501</v>
      </c>
      <c r="J15" s="115">
        <f t="shared" si="2"/>
        <v>445945.94559909881</v>
      </c>
      <c r="K15" s="114">
        <f t="shared" si="2"/>
        <v>286413.58121126896</v>
      </c>
      <c r="L15" s="115">
        <f t="shared" si="2"/>
        <v>247747.74774774766</v>
      </c>
      <c r="M15" s="4"/>
    </row>
    <row r="16" spans="1:13" s="17" customFormat="1" ht="14.4" thickBot="1">
      <c r="A16" s="28"/>
      <c r="B16" s="29" t="s">
        <v>28</v>
      </c>
      <c r="C16" s="30"/>
      <c r="D16" s="30"/>
      <c r="E16" s="48"/>
      <c r="F16" s="48"/>
      <c r="G16" s="110">
        <f>G14+G15</f>
        <v>8092485.5450867014</v>
      </c>
      <c r="H16" s="116">
        <f t="shared" ref="H16:L16" si="3">H14+H15</f>
        <v>6999999.9964999976</v>
      </c>
      <c r="I16" s="110">
        <f t="shared" si="3"/>
        <v>5202312.1346820779</v>
      </c>
      <c r="J16" s="116">
        <f t="shared" si="3"/>
        <v>4499999.9964999976</v>
      </c>
      <c r="K16" s="115">
        <f t="shared" si="3"/>
        <v>2890173.410404623</v>
      </c>
      <c r="L16" s="119">
        <f t="shared" si="3"/>
        <v>2499999.9999999991</v>
      </c>
      <c r="M16" s="31"/>
    </row>
    <row r="18" spans="2:8" ht="36.6" customHeight="1">
      <c r="B18" s="176" t="s">
        <v>66</v>
      </c>
      <c r="C18" s="176"/>
      <c r="D18" s="176"/>
      <c r="E18" s="176"/>
      <c r="F18" s="176"/>
      <c r="G18" s="176"/>
    </row>
    <row r="19" spans="2:8" ht="36.6" customHeight="1">
      <c r="B19" s="177" t="s">
        <v>65</v>
      </c>
      <c r="C19" s="177"/>
      <c r="D19" s="177"/>
      <c r="E19" s="177"/>
      <c r="F19" s="177"/>
      <c r="G19" s="177"/>
    </row>
    <row r="21" spans="2:8">
      <c r="G21" s="124"/>
    </row>
    <row r="24" spans="2:8">
      <c r="G24" s="41"/>
      <c r="H24" s="40"/>
    </row>
    <row r="25" spans="2:8">
      <c r="G25" s="41"/>
      <c r="H25" s="40"/>
    </row>
  </sheetData>
  <mergeCells count="10">
    <mergeCell ref="B18:G18"/>
    <mergeCell ref="B19:G19"/>
    <mergeCell ref="A1:C1"/>
    <mergeCell ref="A2:M2"/>
    <mergeCell ref="M4:M5"/>
    <mergeCell ref="A3:B3"/>
    <mergeCell ref="C4:C5"/>
    <mergeCell ref="D4:D5"/>
    <mergeCell ref="A4:B5"/>
    <mergeCell ref="I3:L3"/>
  </mergeCells>
  <pageMargins left="0.7" right="0.7" top="0.75" bottom="0.75" header="0.3" footer="0.3"/>
  <pageSetup scale="3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7F7F-B9D4-4C38-9B48-D768593FC98F}">
  <dimension ref="A2:M15"/>
  <sheetViews>
    <sheetView topLeftCell="C1" zoomScale="85" zoomScaleNormal="85" workbookViewId="0">
      <selection activeCell="I3" sqref="I3:L3"/>
    </sheetView>
  </sheetViews>
  <sheetFormatPr defaultRowHeight="14.4"/>
  <cols>
    <col min="1" max="1" width="1.88671875" bestFit="1" customWidth="1"/>
    <col min="2" max="2" width="41.88671875" customWidth="1"/>
    <col min="3" max="3" width="22.44140625" customWidth="1"/>
    <col min="4" max="13" width="20.33203125" customWidth="1"/>
  </cols>
  <sheetData>
    <row r="2" spans="1:13" ht="15.6">
      <c r="A2" s="201" t="s">
        <v>70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ht="15" thickBot="1">
      <c r="A3" s="204"/>
      <c r="B3" s="204"/>
      <c r="C3" s="1"/>
      <c r="D3" s="1"/>
      <c r="E3" s="58"/>
      <c r="F3" s="58"/>
      <c r="G3" s="58"/>
      <c r="H3" s="58"/>
      <c r="I3" s="209" t="s">
        <v>1</v>
      </c>
      <c r="J3" s="209"/>
      <c r="K3" s="209"/>
      <c r="L3" s="209"/>
      <c r="M3" s="33">
        <v>0.86499999999999999</v>
      </c>
    </row>
    <row r="4" spans="1:13">
      <c r="A4" s="205" t="s">
        <v>2</v>
      </c>
      <c r="B4" s="207"/>
      <c r="C4" s="205" t="s">
        <v>3</v>
      </c>
      <c r="D4" s="207" t="s">
        <v>4</v>
      </c>
      <c r="E4" s="59" t="s">
        <v>74</v>
      </c>
      <c r="F4" s="59" t="s">
        <v>74</v>
      </c>
      <c r="G4" s="59" t="s">
        <v>5</v>
      </c>
      <c r="H4" s="59" t="s">
        <v>5</v>
      </c>
      <c r="I4" s="59" t="s">
        <v>6</v>
      </c>
      <c r="J4" s="59" t="s">
        <v>7</v>
      </c>
      <c r="K4" s="59" t="s">
        <v>8</v>
      </c>
      <c r="L4" s="60" t="s">
        <v>8</v>
      </c>
      <c r="M4" s="202" t="s">
        <v>9</v>
      </c>
    </row>
    <row r="5" spans="1:13" ht="28.2" thickBot="1">
      <c r="A5" s="206"/>
      <c r="B5" s="208"/>
      <c r="C5" s="206"/>
      <c r="D5" s="208"/>
      <c r="E5" s="61" t="s">
        <v>10</v>
      </c>
      <c r="F5" s="61" t="s">
        <v>68</v>
      </c>
      <c r="G5" s="61" t="s">
        <v>10</v>
      </c>
      <c r="H5" s="61" t="s">
        <v>68</v>
      </c>
      <c r="I5" s="61" t="s">
        <v>11</v>
      </c>
      <c r="J5" s="61" t="s">
        <v>68</v>
      </c>
      <c r="K5" s="61" t="s">
        <v>12</v>
      </c>
      <c r="L5" s="61" t="s">
        <v>68</v>
      </c>
      <c r="M5" s="203"/>
    </row>
    <row r="6" spans="1:13" ht="15" thickBot="1">
      <c r="A6" s="2" t="s">
        <v>13</v>
      </c>
      <c r="B6" s="3" t="s">
        <v>14</v>
      </c>
      <c r="C6" s="3"/>
      <c r="D6" s="3"/>
      <c r="E6" s="62"/>
      <c r="F6" s="62"/>
      <c r="G6" s="62"/>
      <c r="H6" s="62"/>
      <c r="I6" s="62"/>
      <c r="J6" s="62"/>
      <c r="K6" s="62"/>
      <c r="L6" s="63"/>
      <c r="M6" s="4"/>
    </row>
    <row r="7" spans="1:13">
      <c r="A7" s="27">
        <v>1</v>
      </c>
      <c r="B7" s="26" t="s">
        <v>15</v>
      </c>
      <c r="C7" s="5"/>
      <c r="D7" s="5"/>
      <c r="E7" s="64"/>
      <c r="F7" s="64"/>
      <c r="G7" s="64"/>
      <c r="H7" s="64"/>
      <c r="I7" s="64"/>
      <c r="J7" s="64"/>
      <c r="K7" s="64"/>
      <c r="L7" s="65"/>
      <c r="M7" s="66"/>
    </row>
    <row r="8" spans="1:13" ht="48.6" customHeight="1">
      <c r="A8" s="6">
        <v>1</v>
      </c>
      <c r="B8" s="7" t="s">
        <v>29</v>
      </c>
      <c r="C8" s="8" t="s">
        <v>30</v>
      </c>
      <c r="D8" s="8">
        <v>306</v>
      </c>
      <c r="E8" s="67">
        <v>1701.8038200000001</v>
      </c>
      <c r="F8" s="67">
        <f>E8*$M$3</f>
        <v>1472.0603043000001</v>
      </c>
      <c r="G8" s="67">
        <f>D8*E8</f>
        <v>520751.96892000001</v>
      </c>
      <c r="H8" s="67">
        <f>G8*$M$3</f>
        <v>450450.45311579999</v>
      </c>
      <c r="I8" s="67">
        <f>G8/2</f>
        <v>260375.98446000001</v>
      </c>
      <c r="J8" s="67">
        <f>I8*$M$3</f>
        <v>225225.22655789999</v>
      </c>
      <c r="K8" s="67">
        <f>G8/2</f>
        <v>260375.98446000001</v>
      </c>
      <c r="L8" s="68">
        <f>K8*$M$3</f>
        <v>225225.22655789999</v>
      </c>
      <c r="M8" s="69"/>
    </row>
    <row r="9" spans="1:13" ht="36" customHeight="1" thickBot="1">
      <c r="A9" s="13"/>
      <c r="B9" s="14" t="s">
        <v>24</v>
      </c>
      <c r="C9" s="15"/>
      <c r="D9" s="15"/>
      <c r="E9" s="70"/>
      <c r="F9" s="70"/>
      <c r="G9" s="70">
        <f t="shared" ref="G9:L10" si="0">G8</f>
        <v>520751.96892000001</v>
      </c>
      <c r="H9" s="70">
        <f t="shared" si="0"/>
        <v>450450.45311579999</v>
      </c>
      <c r="I9" s="70">
        <f t="shared" si="0"/>
        <v>260375.98446000001</v>
      </c>
      <c r="J9" s="70">
        <f t="shared" si="0"/>
        <v>225225.22655789999</v>
      </c>
      <c r="K9" s="70">
        <f t="shared" si="0"/>
        <v>260375.98446000001</v>
      </c>
      <c r="L9" s="70">
        <f t="shared" si="0"/>
        <v>225225.22655789999</v>
      </c>
      <c r="M9" s="16"/>
    </row>
    <row r="10" spans="1:13" ht="38.4" customHeight="1" thickBot="1">
      <c r="A10" s="32" t="s">
        <v>13</v>
      </c>
      <c r="B10" s="18" t="s">
        <v>25</v>
      </c>
      <c r="C10" s="19"/>
      <c r="D10" s="19"/>
      <c r="E10" s="71"/>
      <c r="F10" s="71"/>
      <c r="G10" s="71">
        <f t="shared" si="0"/>
        <v>520751.96892000001</v>
      </c>
      <c r="H10" s="71">
        <f t="shared" si="0"/>
        <v>450450.45311579999</v>
      </c>
      <c r="I10" s="71">
        <f t="shared" si="0"/>
        <v>260375.98446000001</v>
      </c>
      <c r="J10" s="71">
        <f t="shared" si="0"/>
        <v>225225.22655789999</v>
      </c>
      <c r="K10" s="71">
        <f t="shared" si="0"/>
        <v>260375.98446000001</v>
      </c>
      <c r="L10" s="71">
        <f t="shared" si="0"/>
        <v>225225.22655789999</v>
      </c>
      <c r="M10" s="20"/>
    </row>
    <row r="11" spans="1:13" ht="37.200000000000003" customHeight="1" thickBot="1">
      <c r="A11" s="2" t="s">
        <v>26</v>
      </c>
      <c r="B11" s="3" t="s">
        <v>27</v>
      </c>
      <c r="C11" s="3"/>
      <c r="D11" s="3"/>
      <c r="E11" s="62"/>
      <c r="F11" s="62"/>
      <c r="G11" s="62">
        <f t="shared" ref="G11:L11" si="1">G10*11%</f>
        <v>57282.716581200002</v>
      </c>
      <c r="H11" s="62">
        <f t="shared" si="1"/>
        <v>49549.549842738001</v>
      </c>
      <c r="I11" s="62">
        <f t="shared" si="1"/>
        <v>28641.358290600001</v>
      </c>
      <c r="J11" s="62">
        <f t="shared" si="1"/>
        <v>24774.774921369</v>
      </c>
      <c r="K11" s="62">
        <f t="shared" si="1"/>
        <v>28641.358290600001</v>
      </c>
      <c r="L11" s="62">
        <f t="shared" si="1"/>
        <v>24774.774921369</v>
      </c>
      <c r="M11" s="4"/>
    </row>
    <row r="12" spans="1:13" ht="15" thickBot="1">
      <c r="A12" s="28"/>
      <c r="B12" s="29" t="s">
        <v>28</v>
      </c>
      <c r="C12" s="30"/>
      <c r="D12" s="30"/>
      <c r="E12" s="72"/>
      <c r="F12" s="72"/>
      <c r="G12" s="72">
        <f t="shared" ref="G12:L12" si="2">G10+G11</f>
        <v>578034.68550120003</v>
      </c>
      <c r="H12" s="72">
        <f t="shared" si="2"/>
        <v>500000.00295853801</v>
      </c>
      <c r="I12" s="72">
        <f t="shared" si="2"/>
        <v>289017.34275060002</v>
      </c>
      <c r="J12" s="72">
        <f t="shared" si="2"/>
        <v>250000.00147926901</v>
      </c>
      <c r="K12" s="72">
        <f t="shared" si="2"/>
        <v>289017.34275060002</v>
      </c>
      <c r="L12" s="72">
        <f t="shared" si="2"/>
        <v>250000.00147926901</v>
      </c>
      <c r="M12" s="31"/>
    </row>
    <row r="15" spans="1:13" ht="59.4" customHeight="1">
      <c r="B15" s="210" t="s">
        <v>64</v>
      </c>
      <c r="C15" s="210"/>
      <c r="D15" s="210"/>
      <c r="E15" s="210"/>
      <c r="F15" s="210"/>
    </row>
  </sheetData>
  <mergeCells count="8">
    <mergeCell ref="B15:F15"/>
    <mergeCell ref="A2:M2"/>
    <mergeCell ref="A3:B3"/>
    <mergeCell ref="I3:L3"/>
    <mergeCell ref="A4:B5"/>
    <mergeCell ref="C4:C5"/>
    <mergeCell ref="D4:D5"/>
    <mergeCell ref="M4:M5"/>
  </mergeCells>
  <pageMargins left="0.7" right="0.7" top="0.75" bottom="0.75" header="0.3" footer="0.3"/>
  <pageSetup scale="3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F11C-DF9F-4B0B-BA49-AB41A71FB0B8}">
  <dimension ref="A1:N26"/>
  <sheetViews>
    <sheetView topLeftCell="B1" zoomScale="96" zoomScaleNormal="96" workbookViewId="0">
      <selection activeCell="I18" sqref="I18"/>
    </sheetView>
  </sheetViews>
  <sheetFormatPr defaultRowHeight="14.4"/>
  <cols>
    <col min="2" max="2" width="50" customWidth="1"/>
    <col min="3" max="6" width="13.109375" customWidth="1"/>
    <col min="7" max="7" width="18.33203125" customWidth="1"/>
    <col min="8" max="8" width="16.109375" bestFit="1" customWidth="1"/>
    <col min="9" max="9" width="18.5546875" customWidth="1"/>
    <col min="10" max="10" width="16.109375" bestFit="1" customWidth="1"/>
    <col min="11" max="11" width="60.6640625" customWidth="1"/>
    <col min="14" max="14" width="12.5546875" bestFit="1" customWidth="1"/>
  </cols>
  <sheetData>
    <row r="1" spans="1:14" ht="15.6">
      <c r="A1" s="201" t="s">
        <v>71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4" ht="15" thickBot="1">
      <c r="A2" s="204"/>
      <c r="B2" s="204"/>
      <c r="C2" s="1"/>
      <c r="D2" s="1"/>
      <c r="E2" s="1"/>
      <c r="F2" s="1"/>
      <c r="G2" s="1"/>
      <c r="H2" s="1"/>
      <c r="I2" s="1"/>
      <c r="J2" s="1"/>
      <c r="K2" s="1"/>
    </row>
    <row r="3" spans="1:14" ht="27.6">
      <c r="A3" s="205" t="s">
        <v>2</v>
      </c>
      <c r="B3" s="207"/>
      <c r="C3" s="205" t="s">
        <v>3</v>
      </c>
      <c r="D3" s="207" t="s">
        <v>4</v>
      </c>
      <c r="E3" s="23" t="s">
        <v>74</v>
      </c>
      <c r="F3" s="23" t="s">
        <v>74</v>
      </c>
      <c r="G3" s="23" t="s">
        <v>5</v>
      </c>
      <c r="H3" s="23" t="s">
        <v>5</v>
      </c>
      <c r="I3" s="23" t="s">
        <v>6</v>
      </c>
      <c r="J3" s="23" t="s">
        <v>7</v>
      </c>
      <c r="K3" s="202" t="s">
        <v>9</v>
      </c>
    </row>
    <row r="4" spans="1:14" ht="15" thickBot="1">
      <c r="A4" s="206"/>
      <c r="B4" s="208"/>
      <c r="C4" s="206"/>
      <c r="D4" s="208"/>
      <c r="E4" s="25" t="s">
        <v>10</v>
      </c>
      <c r="F4" s="25" t="s">
        <v>31</v>
      </c>
      <c r="G4" s="25" t="s">
        <v>10</v>
      </c>
      <c r="H4" s="25" t="s">
        <v>31</v>
      </c>
      <c r="I4" s="25" t="s">
        <v>11</v>
      </c>
      <c r="J4" s="25" t="s">
        <v>31</v>
      </c>
      <c r="K4" s="203"/>
    </row>
    <row r="5" spans="1:14" ht="15" thickBot="1">
      <c r="A5" s="2" t="s">
        <v>13</v>
      </c>
      <c r="B5" s="3" t="s">
        <v>14</v>
      </c>
      <c r="C5" s="3"/>
      <c r="D5" s="3"/>
      <c r="E5" s="3"/>
      <c r="F5" s="3"/>
      <c r="G5" s="3"/>
      <c r="H5" s="3"/>
      <c r="I5" s="3"/>
      <c r="J5" s="3"/>
      <c r="K5" s="4"/>
    </row>
    <row r="6" spans="1:14">
      <c r="A6" s="27">
        <v>1</v>
      </c>
      <c r="B6" s="26" t="s">
        <v>15</v>
      </c>
      <c r="C6" s="5"/>
      <c r="D6" s="5"/>
      <c r="E6" s="5"/>
      <c r="F6" s="5"/>
      <c r="G6" s="5"/>
      <c r="H6" s="5"/>
      <c r="I6" s="5"/>
      <c r="J6" s="5"/>
      <c r="K6" s="66"/>
    </row>
    <row r="7" spans="1:14">
      <c r="A7" s="6">
        <v>1.1000000000000001</v>
      </c>
      <c r="B7" s="7" t="s">
        <v>32</v>
      </c>
      <c r="C7" s="8"/>
      <c r="D7" s="8"/>
      <c r="E7" s="8"/>
      <c r="F7" s="8"/>
      <c r="G7" s="8"/>
      <c r="H7" s="8"/>
      <c r="I7" s="8"/>
      <c r="J7" s="8"/>
      <c r="K7" s="69"/>
    </row>
    <row r="8" spans="1:14" ht="42.6" customHeight="1">
      <c r="A8" s="9" t="s">
        <v>17</v>
      </c>
      <c r="B8" s="10" t="s">
        <v>33</v>
      </c>
      <c r="C8" s="73" t="s">
        <v>34</v>
      </c>
      <c r="D8" s="74">
        <v>288</v>
      </c>
      <c r="E8" s="75">
        <v>1700</v>
      </c>
      <c r="F8" s="76">
        <f>E8*0.865</f>
        <v>1470.5</v>
      </c>
      <c r="G8" s="77">
        <f>D8*E8</f>
        <v>489600</v>
      </c>
      <c r="H8" s="92">
        <f>D8*F8</f>
        <v>423504</v>
      </c>
      <c r="I8" s="75">
        <f>G8</f>
        <v>489600</v>
      </c>
      <c r="J8" s="92">
        <f>H8</f>
        <v>423504</v>
      </c>
      <c r="K8" s="78" t="s">
        <v>35</v>
      </c>
    </row>
    <row r="9" spans="1:14" ht="48.9" customHeight="1">
      <c r="A9" s="9" t="s">
        <v>21</v>
      </c>
      <c r="B9" s="10" t="s">
        <v>36</v>
      </c>
      <c r="C9" s="73" t="s">
        <v>37</v>
      </c>
      <c r="D9" s="74">
        <v>294.54545454545428</v>
      </c>
      <c r="E9" s="75">
        <v>1212.6400000000001</v>
      </c>
      <c r="F9" s="76">
        <f>E9*0.865</f>
        <v>1048.9336000000001</v>
      </c>
      <c r="G9" s="77">
        <f>D9*E9</f>
        <v>357177.59999999969</v>
      </c>
      <c r="H9" s="92">
        <f>D9*F9</f>
        <v>308958.62399999972</v>
      </c>
      <c r="I9" s="75">
        <f>G9</f>
        <v>357177.59999999969</v>
      </c>
      <c r="J9" s="92">
        <f>H9</f>
        <v>308958.62399999972</v>
      </c>
      <c r="K9" s="78" t="s">
        <v>38</v>
      </c>
      <c r="N9" s="90"/>
    </row>
    <row r="10" spans="1:14" ht="15" thickBot="1">
      <c r="A10" s="13"/>
      <c r="B10" s="14" t="s">
        <v>24</v>
      </c>
      <c r="C10" s="15"/>
      <c r="D10" s="15"/>
      <c r="E10" s="15"/>
      <c r="F10" s="15"/>
      <c r="G10" s="79">
        <f>SUM(G8:G9)</f>
        <v>846777.59999999963</v>
      </c>
      <c r="H10" s="93">
        <f>SUM(H8:H9)</f>
        <v>732462.62399999972</v>
      </c>
      <c r="I10" s="79">
        <f>SUM(I8:I9)</f>
        <v>846777.59999999963</v>
      </c>
      <c r="J10" s="93">
        <f>SUM(J8:J9)</f>
        <v>732462.62399999972</v>
      </c>
      <c r="K10" s="16"/>
    </row>
    <row r="11" spans="1:14">
      <c r="A11" s="27">
        <v>2</v>
      </c>
      <c r="B11" s="26" t="s">
        <v>39</v>
      </c>
      <c r="C11" s="5"/>
      <c r="D11" s="5"/>
      <c r="E11" s="5"/>
      <c r="F11" s="5"/>
      <c r="G11" s="5"/>
      <c r="H11" s="94"/>
      <c r="I11" s="5"/>
      <c r="J11" s="94"/>
      <c r="K11" s="66"/>
    </row>
    <row r="12" spans="1:14">
      <c r="A12" s="6">
        <v>2.1</v>
      </c>
      <c r="B12" s="7" t="s">
        <v>40</v>
      </c>
      <c r="C12" s="8"/>
      <c r="D12" s="8"/>
      <c r="E12" s="8"/>
      <c r="F12" s="8"/>
      <c r="G12" s="8"/>
      <c r="H12" s="95"/>
      <c r="I12" s="8"/>
      <c r="J12" s="95"/>
      <c r="K12" s="69"/>
    </row>
    <row r="13" spans="1:14" ht="27.6">
      <c r="A13" s="9" t="s">
        <v>41</v>
      </c>
      <c r="B13" s="10" t="s">
        <v>42</v>
      </c>
      <c r="C13" s="73" t="s">
        <v>34</v>
      </c>
      <c r="D13" s="73">
        <v>8.1</v>
      </c>
      <c r="E13" s="80">
        <v>1535</v>
      </c>
      <c r="F13" s="76">
        <f>E13*0.865</f>
        <v>1327.7750000000001</v>
      </c>
      <c r="G13" s="77">
        <f>D13*E13</f>
        <v>12433.5</v>
      </c>
      <c r="H13" s="92">
        <f>D13*F13</f>
        <v>10754.977500000001</v>
      </c>
      <c r="I13" s="75">
        <f t="shared" ref="I13:J17" si="0">G13</f>
        <v>12433.5</v>
      </c>
      <c r="J13" s="92">
        <f t="shared" si="0"/>
        <v>10754.977500000001</v>
      </c>
      <c r="K13" s="78" t="s">
        <v>43</v>
      </c>
    </row>
    <row r="14" spans="1:14" ht="27.6">
      <c r="A14" s="9" t="s">
        <v>44</v>
      </c>
      <c r="B14" s="10" t="s">
        <v>45</v>
      </c>
      <c r="C14" s="73" t="s">
        <v>34</v>
      </c>
      <c r="D14" s="73">
        <v>12</v>
      </c>
      <c r="E14" s="81">
        <v>1694.99</v>
      </c>
      <c r="F14" s="76">
        <f t="shared" ref="F14:F17" si="1">E14*0.865</f>
        <v>1466.16635</v>
      </c>
      <c r="G14" s="77">
        <f>D14*E14</f>
        <v>20339.88</v>
      </c>
      <c r="H14" s="92">
        <f>D14*F14</f>
        <v>17593.996200000001</v>
      </c>
      <c r="I14" s="75">
        <f t="shared" si="0"/>
        <v>20339.88</v>
      </c>
      <c r="J14" s="92">
        <f t="shared" si="0"/>
        <v>17593.996200000001</v>
      </c>
      <c r="K14" s="78" t="s">
        <v>46</v>
      </c>
    </row>
    <row r="15" spans="1:14" ht="27.6">
      <c r="A15" s="9" t="s">
        <v>47</v>
      </c>
      <c r="B15" s="10" t="s">
        <v>48</v>
      </c>
      <c r="C15" s="73" t="s">
        <v>34</v>
      </c>
      <c r="D15" s="73">
        <v>12</v>
      </c>
      <c r="E15" s="81">
        <v>6765.81</v>
      </c>
      <c r="F15" s="76">
        <f t="shared" si="1"/>
        <v>5852.4256500000001</v>
      </c>
      <c r="G15" s="77">
        <f>D15*E15</f>
        <v>81189.72</v>
      </c>
      <c r="H15" s="92">
        <f>D15*F15</f>
        <v>70229.107799999998</v>
      </c>
      <c r="I15" s="75">
        <f t="shared" si="0"/>
        <v>81189.72</v>
      </c>
      <c r="J15" s="92">
        <f t="shared" si="0"/>
        <v>70229.107799999998</v>
      </c>
      <c r="K15" s="78" t="s">
        <v>49</v>
      </c>
    </row>
    <row r="16" spans="1:14" ht="27.6">
      <c r="A16" s="9" t="s">
        <v>50</v>
      </c>
      <c r="B16" s="10" t="s">
        <v>51</v>
      </c>
      <c r="C16" s="73" t="s">
        <v>34</v>
      </c>
      <c r="D16" s="73">
        <v>12</v>
      </c>
      <c r="E16" s="81">
        <v>5100</v>
      </c>
      <c r="F16" s="76">
        <f t="shared" si="1"/>
        <v>4411.5</v>
      </c>
      <c r="G16" s="77">
        <f>D16*E16</f>
        <v>61200</v>
      </c>
      <c r="H16" s="92">
        <f>D16*F16</f>
        <v>52938</v>
      </c>
      <c r="I16" s="75">
        <f t="shared" si="0"/>
        <v>61200</v>
      </c>
      <c r="J16" s="92">
        <f t="shared" si="0"/>
        <v>52938</v>
      </c>
      <c r="K16" s="78" t="s">
        <v>52</v>
      </c>
    </row>
    <row r="17" spans="1:11" ht="27.6">
      <c r="A17" s="9" t="s">
        <v>53</v>
      </c>
      <c r="B17" s="10" t="s">
        <v>54</v>
      </c>
      <c r="C17" s="73" t="s">
        <v>34</v>
      </c>
      <c r="D17" s="74">
        <v>11.179</v>
      </c>
      <c r="E17" s="81">
        <v>1750</v>
      </c>
      <c r="F17" s="76">
        <f t="shared" si="1"/>
        <v>1513.75</v>
      </c>
      <c r="G17" s="77">
        <f>D17*E17</f>
        <v>19563.25</v>
      </c>
      <c r="H17" s="92">
        <f>D17*F17</f>
        <v>16922.21125</v>
      </c>
      <c r="I17" s="75">
        <f t="shared" si="0"/>
        <v>19563.25</v>
      </c>
      <c r="J17" s="92">
        <f t="shared" si="0"/>
        <v>16922.21125</v>
      </c>
      <c r="K17" s="78" t="s">
        <v>55</v>
      </c>
    </row>
    <row r="18" spans="1:11" ht="15" thickBot="1">
      <c r="A18" s="9"/>
      <c r="B18" s="82" t="s">
        <v>56</v>
      </c>
      <c r="C18" s="15"/>
      <c r="D18" s="15"/>
      <c r="E18" s="15"/>
      <c r="F18" s="15"/>
      <c r="G18" s="83">
        <f>SUM(G13:G17)</f>
        <v>194726.35</v>
      </c>
      <c r="H18" s="93">
        <f>SUM(H13:H17)</f>
        <v>168438.29274999999</v>
      </c>
      <c r="I18" s="83">
        <f>SUM(I13:I17)</f>
        <v>194726.35</v>
      </c>
      <c r="J18" s="93">
        <f>SUM(J13:J17)</f>
        <v>168438.29274999999</v>
      </c>
      <c r="K18" s="16"/>
    </row>
    <row r="19" spans="1:11" ht="15" thickBot="1">
      <c r="A19" s="13"/>
      <c r="B19" s="18" t="s">
        <v>25</v>
      </c>
      <c r="C19" s="19"/>
      <c r="D19" s="19"/>
      <c r="E19" s="19">
        <v>0</v>
      </c>
      <c r="F19" s="19">
        <v>0</v>
      </c>
      <c r="G19" s="84">
        <f>G10+G18</f>
        <v>1041503.9499999996</v>
      </c>
      <c r="H19" s="96">
        <f>H10+H18</f>
        <v>900900.91674999974</v>
      </c>
      <c r="I19" s="84">
        <f>I10+I18</f>
        <v>1041503.9499999996</v>
      </c>
      <c r="J19" s="96">
        <f>J10+J18</f>
        <v>900900.91674999974</v>
      </c>
      <c r="K19" s="20"/>
    </row>
    <row r="20" spans="1:11" ht="15" thickBot="1">
      <c r="A20" s="32" t="s">
        <v>13</v>
      </c>
      <c r="B20" s="3" t="s">
        <v>27</v>
      </c>
      <c r="C20" s="3"/>
      <c r="D20" s="3"/>
      <c r="E20" s="3"/>
      <c r="F20" s="3"/>
      <c r="G20" s="85">
        <f>G19*11%</f>
        <v>114565.43449999996</v>
      </c>
      <c r="H20" s="97">
        <f>H19*11%</f>
        <v>99099.100842499975</v>
      </c>
      <c r="I20" s="85">
        <f>I19*11%</f>
        <v>114565.43449999996</v>
      </c>
      <c r="J20" s="97">
        <f>J19*11%</f>
        <v>99099.100842499975</v>
      </c>
      <c r="K20" s="4"/>
    </row>
    <row r="21" spans="1:11" ht="15" thickBot="1">
      <c r="A21" s="2" t="s">
        <v>26</v>
      </c>
      <c r="B21" s="29" t="s">
        <v>28</v>
      </c>
      <c r="C21" s="30"/>
      <c r="D21" s="30"/>
      <c r="E21" s="30">
        <v>0</v>
      </c>
      <c r="F21" s="30">
        <v>0</v>
      </c>
      <c r="G21" s="86">
        <f>G19+G20</f>
        <v>1156069.3844999995</v>
      </c>
      <c r="H21" s="98">
        <f>H19+H20</f>
        <v>1000000.0175924997</v>
      </c>
      <c r="I21" s="86">
        <f>I19+I20</f>
        <v>1156069.3844999995</v>
      </c>
      <c r="J21" s="98">
        <f>J19+J20</f>
        <v>1000000.0175924997</v>
      </c>
      <c r="K21" s="31"/>
    </row>
    <row r="23" spans="1:11" ht="57.6" customHeight="1">
      <c r="B23" s="176" t="s">
        <v>66</v>
      </c>
      <c r="C23" s="176"/>
      <c r="D23" s="176"/>
      <c r="E23" s="176"/>
      <c r="F23" s="176"/>
      <c r="G23" s="176"/>
    </row>
    <row r="24" spans="1:11" ht="54" customHeight="1">
      <c r="B24" s="177" t="s">
        <v>65</v>
      </c>
      <c r="C24" s="177"/>
      <c r="D24" s="177"/>
      <c r="E24" s="177"/>
      <c r="F24" s="177"/>
      <c r="G24" s="177"/>
    </row>
    <row r="26" spans="1:11">
      <c r="B26" t="s">
        <v>63</v>
      </c>
      <c r="J26" s="91"/>
    </row>
  </sheetData>
  <mergeCells count="8">
    <mergeCell ref="B24:G24"/>
    <mergeCell ref="B23:G23"/>
    <mergeCell ref="A1:K1"/>
    <mergeCell ref="A2:B2"/>
    <mergeCell ref="A3:B4"/>
    <mergeCell ref="C3:C4"/>
    <mergeCell ref="D3:D4"/>
    <mergeCell ref="K3:K4"/>
  </mergeCells>
  <pageMargins left="0.7" right="0.7" top="0.75" bottom="0.75" header="0.3" footer="0.3"/>
  <pageSetup scale="38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5540-305E-4B01-836C-53A049475E09}">
  <dimension ref="A2:M21"/>
  <sheetViews>
    <sheetView zoomScale="73" zoomScaleNormal="73" workbookViewId="0">
      <selection activeCell="L13" sqref="L13"/>
    </sheetView>
  </sheetViews>
  <sheetFormatPr defaultRowHeight="14.4"/>
  <cols>
    <col min="1" max="1" width="2.33203125" customWidth="1"/>
    <col min="2" max="2" width="4.5546875" customWidth="1"/>
    <col min="3" max="3" width="61" customWidth="1"/>
    <col min="4" max="4" width="15.109375" customWidth="1"/>
    <col min="5" max="5" width="11.44140625" customWidth="1"/>
    <col min="6" max="7" width="13.109375" customWidth="1"/>
    <col min="8" max="13" width="20.88671875" style="99" customWidth="1"/>
  </cols>
  <sheetData>
    <row r="2" spans="1:13" ht="18">
      <c r="A2" s="211" t="s">
        <v>72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15" thickBot="1"/>
    <row r="4" spans="1:13" ht="27.6">
      <c r="B4" s="205" t="s">
        <v>2</v>
      </c>
      <c r="C4" s="207"/>
      <c r="D4" s="205" t="s">
        <v>3</v>
      </c>
      <c r="E4" s="207" t="s">
        <v>4</v>
      </c>
      <c r="F4" s="59" t="s">
        <v>74</v>
      </c>
      <c r="G4" s="59" t="s">
        <v>74</v>
      </c>
      <c r="H4" s="59" t="s">
        <v>5</v>
      </c>
      <c r="I4" s="59" t="s">
        <v>5</v>
      </c>
      <c r="J4" s="59" t="s">
        <v>6</v>
      </c>
      <c r="K4" s="59" t="s">
        <v>7</v>
      </c>
      <c r="L4" s="59" t="s">
        <v>8</v>
      </c>
      <c r="M4" s="100" t="s">
        <v>8</v>
      </c>
    </row>
    <row r="5" spans="1:13" ht="42" thickBot="1">
      <c r="B5" s="206"/>
      <c r="C5" s="208"/>
      <c r="D5" s="206"/>
      <c r="E5" s="208"/>
      <c r="F5" s="61" t="s">
        <v>10</v>
      </c>
      <c r="G5" s="61" t="s">
        <v>67</v>
      </c>
      <c r="H5" s="61" t="s">
        <v>10</v>
      </c>
      <c r="I5" s="61" t="s">
        <v>67</v>
      </c>
      <c r="J5" s="61" t="s">
        <v>11</v>
      </c>
      <c r="K5" s="61" t="s">
        <v>67</v>
      </c>
      <c r="L5" s="61" t="s">
        <v>12</v>
      </c>
      <c r="M5" s="100" t="s">
        <v>67</v>
      </c>
    </row>
    <row r="6" spans="1:13" ht="15" thickBot="1">
      <c r="B6" s="2" t="s">
        <v>13</v>
      </c>
      <c r="C6" s="3" t="s">
        <v>14</v>
      </c>
      <c r="D6" s="3"/>
      <c r="E6" s="3"/>
      <c r="F6" s="62"/>
      <c r="G6" s="62"/>
      <c r="H6" s="62"/>
      <c r="I6" s="62"/>
      <c r="J6" s="62"/>
      <c r="K6" s="62"/>
      <c r="L6" s="62"/>
      <c r="M6" s="101"/>
    </row>
    <row r="7" spans="1:13">
      <c r="B7" s="27">
        <v>1</v>
      </c>
      <c r="C7" s="26" t="s">
        <v>15</v>
      </c>
      <c r="D7" s="5"/>
      <c r="E7" s="5"/>
      <c r="F7" s="64"/>
      <c r="G7" s="64"/>
      <c r="H7" s="64"/>
      <c r="I7" s="64"/>
      <c r="J7" s="64"/>
      <c r="K7" s="64"/>
      <c r="L7" s="64"/>
      <c r="M7" s="102"/>
    </row>
    <row r="8" spans="1:13" ht="28.2">
      <c r="B8" s="87"/>
      <c r="C8" s="7" t="s">
        <v>57</v>
      </c>
      <c r="D8" s="88" t="s">
        <v>58</v>
      </c>
      <c r="E8" s="88">
        <f>4*12</f>
        <v>48</v>
      </c>
      <c r="F8" s="89">
        <v>4953.7610789980727</v>
      </c>
      <c r="G8" s="89">
        <f>F8*0.865</f>
        <v>4285.0033333333331</v>
      </c>
      <c r="H8" s="89">
        <f>E8*F8</f>
        <v>237780.5317919075</v>
      </c>
      <c r="I8" s="89">
        <f>E8*G8</f>
        <v>205680.15999999997</v>
      </c>
      <c r="J8" s="89">
        <f>H8</f>
        <v>237780.5317919075</v>
      </c>
      <c r="K8" s="89">
        <f>I8</f>
        <v>205680.15999999997</v>
      </c>
      <c r="L8" s="89"/>
      <c r="M8" s="67"/>
    </row>
    <row r="9" spans="1:13">
      <c r="B9" s="87"/>
      <c r="C9" s="7" t="s">
        <v>59</v>
      </c>
      <c r="D9" s="88" t="s">
        <v>58</v>
      </c>
      <c r="E9" s="88">
        <f>8*18</f>
        <v>144</v>
      </c>
      <c r="F9" s="89">
        <v>1304.971098265896</v>
      </c>
      <c r="G9" s="89">
        <f>F9*0.865</f>
        <v>1128.8</v>
      </c>
      <c r="H9" s="89">
        <f>E9*F9</f>
        <v>187915.83815028903</v>
      </c>
      <c r="I9" s="89">
        <f>E9*G9</f>
        <v>162547.19999999998</v>
      </c>
      <c r="J9" s="89">
        <f>H9/18*12</f>
        <v>125277.22543352601</v>
      </c>
      <c r="K9" s="89">
        <f>I9/18*12</f>
        <v>108364.79999999999</v>
      </c>
      <c r="L9" s="89">
        <f>H9/18*6</f>
        <v>62638.612716763004</v>
      </c>
      <c r="M9" s="67">
        <f>I9/18*6</f>
        <v>54182.399999999994</v>
      </c>
    </row>
    <row r="10" spans="1:13">
      <c r="B10" s="87"/>
      <c r="C10" s="7" t="s">
        <v>60</v>
      </c>
      <c r="D10" s="88" t="s">
        <v>58</v>
      </c>
      <c r="E10" s="88">
        <f>2*18</f>
        <v>36</v>
      </c>
      <c r="F10" s="89">
        <v>1516.4624277456649</v>
      </c>
      <c r="G10" s="89">
        <f>F10*0.865</f>
        <v>1311.74</v>
      </c>
      <c r="H10" s="89">
        <f>E10*F10</f>
        <v>54592.647398843932</v>
      </c>
      <c r="I10" s="89">
        <f>E10*G10</f>
        <v>47222.64</v>
      </c>
      <c r="J10" s="89">
        <f>H10/18*12</f>
        <v>36395.098265895955</v>
      </c>
      <c r="K10" s="89">
        <f>I10/18*12</f>
        <v>31481.760000000002</v>
      </c>
      <c r="L10" s="89">
        <f>H10/18*6</f>
        <v>18197.549132947977</v>
      </c>
      <c r="M10" s="67">
        <f>I10/18*6</f>
        <v>15740.880000000001</v>
      </c>
    </row>
    <row r="11" spans="1:13">
      <c r="B11" s="87"/>
      <c r="C11" s="7" t="s">
        <v>61</v>
      </c>
      <c r="D11" s="88"/>
      <c r="E11" s="88"/>
      <c r="F11" s="89"/>
      <c r="G11" s="89"/>
      <c r="H11" s="89">
        <f>15000/0.865</f>
        <v>17341.040462427747</v>
      </c>
      <c r="I11" s="89">
        <f>H11*0.865</f>
        <v>15000.000000000002</v>
      </c>
      <c r="J11" s="89">
        <f>H11</f>
        <v>17341.040462427747</v>
      </c>
      <c r="K11" s="89">
        <f>I11</f>
        <v>15000.000000000002</v>
      </c>
      <c r="L11" s="89"/>
      <c r="M11" s="67"/>
    </row>
    <row r="12" spans="1:13">
      <c r="B12" s="87"/>
      <c r="C12" s="7" t="s">
        <v>62</v>
      </c>
      <c r="D12" s="88"/>
      <c r="E12" s="88"/>
      <c r="F12" s="89"/>
      <c r="G12" s="89"/>
      <c r="H12" s="89">
        <f>20000/0.865</f>
        <v>23121.387283236996</v>
      </c>
      <c r="I12" s="89">
        <f>H12*0.865</f>
        <v>20000</v>
      </c>
      <c r="J12" s="89">
        <f>H12</f>
        <v>23121.387283236996</v>
      </c>
      <c r="K12" s="89">
        <f>I12</f>
        <v>20000</v>
      </c>
      <c r="L12" s="89"/>
      <c r="M12" s="67"/>
    </row>
    <row r="13" spans="1:13" ht="15" thickBot="1">
      <c r="B13" s="13"/>
      <c r="C13" s="14" t="s">
        <v>24</v>
      </c>
      <c r="D13" s="15"/>
      <c r="E13" s="15"/>
      <c r="F13" s="70"/>
      <c r="G13" s="70"/>
      <c r="H13" s="70">
        <f t="shared" ref="H13:M13" si="0">SUM(H8:H12)</f>
        <v>520751.44508670527</v>
      </c>
      <c r="I13" s="70">
        <f t="shared" si="0"/>
        <v>450450</v>
      </c>
      <c r="J13" s="70">
        <f t="shared" si="0"/>
        <v>439915.28323699423</v>
      </c>
      <c r="K13" s="70">
        <f t="shared" si="0"/>
        <v>380526.72</v>
      </c>
      <c r="L13" s="70">
        <f t="shared" si="0"/>
        <v>80836.161849710974</v>
      </c>
      <c r="M13" s="102">
        <f t="shared" si="0"/>
        <v>69923.28</v>
      </c>
    </row>
    <row r="14" spans="1:13" ht="15" thickBot="1">
      <c r="B14" s="32" t="s">
        <v>13</v>
      </c>
      <c r="C14" s="18" t="s">
        <v>25</v>
      </c>
      <c r="D14" s="19"/>
      <c r="E14" s="19"/>
      <c r="F14" s="71"/>
      <c r="G14" s="71"/>
      <c r="H14" s="71">
        <f t="shared" ref="H14:M14" si="1">H13</f>
        <v>520751.44508670527</v>
      </c>
      <c r="I14" s="71">
        <f t="shared" si="1"/>
        <v>450450</v>
      </c>
      <c r="J14" s="71">
        <f t="shared" si="1"/>
        <v>439915.28323699423</v>
      </c>
      <c r="K14" s="71">
        <f t="shared" si="1"/>
        <v>380526.72</v>
      </c>
      <c r="L14" s="71">
        <f t="shared" si="1"/>
        <v>80836.161849710974</v>
      </c>
      <c r="M14" s="103">
        <f t="shared" si="1"/>
        <v>69923.28</v>
      </c>
    </row>
    <row r="15" spans="1:13" ht="15" thickBot="1">
      <c r="B15" s="2" t="s">
        <v>26</v>
      </c>
      <c r="C15" s="3" t="s">
        <v>27</v>
      </c>
      <c r="D15" s="3"/>
      <c r="E15" s="3"/>
      <c r="F15" s="62"/>
      <c r="G15" s="62"/>
      <c r="H15" s="62">
        <f>H14*11%</f>
        <v>57282.658959537577</v>
      </c>
      <c r="I15" s="62">
        <f>I14*11%+0.5</f>
        <v>49550</v>
      </c>
      <c r="J15" s="62">
        <f>J14*11%</f>
        <v>48390.681156069368</v>
      </c>
      <c r="K15" s="62">
        <f>K14*11%+0.5</f>
        <v>41858.439200000001</v>
      </c>
      <c r="L15" s="62">
        <f>L14*11%</f>
        <v>8891.9778034682076</v>
      </c>
      <c r="M15" s="101">
        <f>M14*11%</f>
        <v>7691.5608000000002</v>
      </c>
    </row>
    <row r="16" spans="1:13" ht="15" thickBot="1">
      <c r="B16" s="28"/>
      <c r="C16" s="29" t="s">
        <v>28</v>
      </c>
      <c r="D16" s="30"/>
      <c r="E16" s="30"/>
      <c r="F16" s="72"/>
      <c r="G16" s="72"/>
      <c r="H16" s="72">
        <f t="shared" ref="H16:M16" si="2">H14+H15</f>
        <v>578034.10404624289</v>
      </c>
      <c r="I16" s="72">
        <f t="shared" si="2"/>
        <v>500000</v>
      </c>
      <c r="J16" s="72">
        <f t="shared" si="2"/>
        <v>488305.96439306362</v>
      </c>
      <c r="K16" s="72">
        <f t="shared" si="2"/>
        <v>422385.15919999999</v>
      </c>
      <c r="L16" s="72">
        <f t="shared" si="2"/>
        <v>89728.139653179183</v>
      </c>
      <c r="M16" s="104">
        <f t="shared" si="2"/>
        <v>77614.840800000005</v>
      </c>
    </row>
    <row r="18" spans="3:9" ht="36.6" customHeight="1">
      <c r="C18" s="176" t="s">
        <v>66</v>
      </c>
      <c r="D18" s="176"/>
      <c r="E18" s="176"/>
      <c r="F18" s="176"/>
      <c r="G18" s="176"/>
      <c r="H18" s="176"/>
    </row>
    <row r="19" spans="3:9" ht="45" customHeight="1">
      <c r="C19" s="177" t="s">
        <v>65</v>
      </c>
      <c r="D19" s="177"/>
      <c r="E19" s="177"/>
      <c r="F19" s="177"/>
      <c r="G19" s="177"/>
      <c r="H19" s="177"/>
    </row>
    <row r="21" spans="3:9">
      <c r="I21" s="99" t="s">
        <v>63</v>
      </c>
    </row>
  </sheetData>
  <mergeCells count="6">
    <mergeCell ref="A2:M2"/>
    <mergeCell ref="C19:H19"/>
    <mergeCell ref="B4:C5"/>
    <mergeCell ref="D4:D5"/>
    <mergeCell ref="E4:E5"/>
    <mergeCell ref="C18:H18"/>
  </mergeCells>
  <pageMargins left="0.7" right="0.7" top="0.75" bottom="0.75" header="0.3" footer="0.3"/>
  <pageSetup scale="3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b0ec71-3dc6-42dc-8aaf-964cfe9da525" xsi:nil="true"/>
    <lcf76f155ced4ddcb4097134ff3c332f xmlns="2d926aab-3708-44f9-9783-e039b1f2d2f3">
      <Terms xmlns="http://schemas.microsoft.com/office/infopath/2007/PartnerControls"/>
    </lcf76f155ced4ddcb4097134ff3c332f>
    <ToBeArchived xmlns="48b0ec71-3dc6-42dc-8aaf-964cfe9da525" xsi:nil="true"/>
    <TaxCatchAllLabel xmlns="48b0ec71-3dc6-42dc-8aaf-964cfe9da525" xsi:nil="true"/>
    <p5e7a70900b24fdf9bcfb9b5fc846c60 xmlns="48b0ec71-3dc6-42dc-8aaf-964cfe9da525">
      <Terms xmlns="http://schemas.microsoft.com/office/infopath/2007/PartnerControls"/>
    </p5e7a70900b24fdf9bcfb9b5fc846c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02EDC63C83B4DA6C4E284D1AB5566" ma:contentTypeVersion="28" ma:contentTypeDescription="Create a new document." ma:contentTypeScope="" ma:versionID="dbd22d05db119979a8b4a6796f1b8be5">
  <xsd:schema xmlns:xsd="http://www.w3.org/2001/XMLSchema" xmlns:xs="http://www.w3.org/2001/XMLSchema" xmlns:p="http://schemas.microsoft.com/office/2006/metadata/properties" xmlns:ns2="2d926aab-3708-44f9-9783-e039b1f2d2f3" xmlns:ns3="48b0ec71-3dc6-42dc-8aaf-964cfe9da525" targetNamespace="http://schemas.microsoft.com/office/2006/metadata/properties" ma:root="true" ma:fieldsID="eb7a0ce493b568defb5f9def948af48d" ns2:_="" ns3:_="">
    <xsd:import namespace="2d926aab-3708-44f9-9783-e039b1f2d2f3"/>
    <xsd:import namespace="48b0ec71-3dc6-42dc-8aaf-964cfe9da525"/>
    <xsd:element name="properties">
      <xsd:complexType>
        <xsd:sequence>
          <xsd:element name="documentManagement">
            <xsd:complexType>
              <xsd:all>
                <xsd:element ref="ns3:ToBeArchived" minOccurs="0"/>
                <xsd:element ref="ns3:p5e7a70900b24fdf9bcfb9b5fc846c60" minOccurs="0"/>
                <xsd:element ref="ns3:TaxCatchAll" minOccurs="0"/>
                <xsd:element ref="ns3:TaxCatchAllLabel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26aab-3708-44f9-9783-e039b1f2d2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8710b318-ea48-4423-a308-0e87359dff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0ec71-3dc6-42dc-8aaf-964cfe9da525" elementFormDefault="qualified">
    <xsd:import namespace="http://schemas.microsoft.com/office/2006/documentManagement/types"/>
    <xsd:import namespace="http://schemas.microsoft.com/office/infopath/2007/PartnerControls"/>
    <xsd:element name="ToBeArchived" ma:index="5" nillable="true" ma:displayName="To be archived" ma:internalName="ToBeArchived">
      <xsd:simpleType>
        <xsd:restriction base="dms:Boolean"/>
      </xsd:simpleType>
    </xsd:element>
    <xsd:element name="p5e7a70900b24fdf9bcfb9b5fc846c60" ma:index="8" nillable="true" ma:taxonomy="true" ma:internalName="p5e7a70900b24fdf9bcfb9b5fc846c60" ma:taxonomyFieldName="ArchiveCode" ma:displayName="Archive code" ma:readOnly="false" ma:default="" ma:fieldId="{95e7a709-00b2-4fdf-9bcf-b9b5fc846c60}" ma:sspId="8710b318-ea48-4423-a308-0e87359dff93" ma:termSetId="eca26591-3e39-4461-87f0-273b620e32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b9ebbb7-3158-4ea9-99f1-112bad551a90}" ma:internalName="TaxCatchAll" ma:readOnly="false" ma:showField="CatchAllData" ma:web="48b0ec71-3dc6-42dc-8aaf-964cfe9d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b9ebbb7-3158-4ea9-99f1-112bad551a90}" ma:internalName="TaxCatchAllLabel" ma:readOnly="false" ma:showField="CatchAllDataLabel" ma:web="48b0ec71-3dc6-42dc-8aaf-964cfe9d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BC854-F810-4F46-8D27-9ABB2BA6B40C}"/>
</file>

<file path=customXml/itemProps2.xml><?xml version="1.0" encoding="utf-8"?>
<ds:datastoreItem xmlns:ds="http://schemas.openxmlformats.org/officeDocument/2006/customXml" ds:itemID="{970C5CA6-B9A2-4B6A-93BD-4D95024E36D2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0ff8f540-85f4-46ce-93e8-50163bb163a2"/>
    <ds:schemaRef ds:uri="http://schemas.openxmlformats.org/package/2006/metadata/core-properties"/>
    <ds:schemaRef ds:uri="http://schemas.microsoft.com/office/infopath/2007/PartnerControls"/>
    <ds:schemaRef ds:uri="cfb177cd-88c2-49ff-9af7-b8e71c04df8d"/>
  </ds:schemaRefs>
</ds:datastoreItem>
</file>

<file path=customXml/itemProps3.xml><?xml version="1.0" encoding="utf-8"?>
<ds:datastoreItem xmlns:ds="http://schemas.openxmlformats.org/officeDocument/2006/customXml" ds:itemID="{9D58CB78-0A84-4D7E-8689-863FCDBB92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Recap</vt:lpstr>
      <vt:lpstr>PB relief. Gaza&amp;Leb</vt:lpstr>
      <vt:lpstr>LFO - Hospitalization</vt:lpstr>
      <vt:lpstr>EIE </vt:lpstr>
      <vt:lpstr>Digital Archive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JURADO, Irene</dc:creator>
  <cp:keywords/>
  <dc:description/>
  <cp:lastModifiedBy>AL-MADHOUN, Salah Al-Din</cp:lastModifiedBy>
  <cp:revision/>
  <cp:lastPrinted>2025-11-04T17:48:14Z</cp:lastPrinted>
  <dcterms:created xsi:type="dcterms:W3CDTF">2023-08-29T07:02:16Z</dcterms:created>
  <dcterms:modified xsi:type="dcterms:W3CDTF">2025-11-04T17:49:07Z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0x0101002CD02EDC63C83B4DA6C4E284D1AB5566</vt:lpwstr>
  </property>
  <property fmtid="{D5CDD505-2E9C-101B-9397-08002B2CF9AE}" pid="3" name="MediaServiceImageTags">
    <vt:lpwstr/>
  </property>
  <property fmtid="{D5CDD505-2E9C-101B-9397-08002B2CF9AE}" pid="4" name="_dlc_DocIdItemGuid">
    <vt:lpwstr>19a720ed-c8f6-4837-aad7-77c04dc0d86e</vt:lpwstr>
  </property>
  <property fmtid="{D5CDD505-2E9C-101B-9397-08002B2CF9AE}" pid="5" name="ArchiveCode">
    <vt:lpwstr/>
  </property>
</Properties>
</file>